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firstSheet="2" activeTab="3"/>
  </bookViews>
  <sheets>
    <sheet name="Sumary of Delhi" sheetId="1" r:id="rId1"/>
    <sheet name="Delhi SummerApr-Sep" sheetId="2" r:id="rId2"/>
    <sheet name="Discom Combined" sheetId="3" r:id="rId3"/>
    <sheet name="Oct 09 Discomwise" sheetId="4" r:id="rId4"/>
    <sheet name="Sheet1" sheetId="5" r:id="rId5"/>
    <sheet name="October 2009" sheetId="6" r:id="rId6"/>
  </sheets>
  <definedNames/>
  <calcPr fullCalcOnLoad="1"/>
</workbook>
</file>

<file path=xl/sharedStrings.xml><?xml version="1.0" encoding="utf-8"?>
<sst xmlns="http://schemas.openxmlformats.org/spreadsheetml/2006/main" count="1100" uniqueCount="236">
  <si>
    <t>DELHI TRANSCO LTD.</t>
  </si>
  <si>
    <t>ALL FIGURES IN MW</t>
  </si>
  <si>
    <t>SOURCES</t>
  </si>
  <si>
    <t>1ST FORTNIGHT</t>
  </si>
  <si>
    <t>2ND FORTNIGHT</t>
  </si>
  <si>
    <t>UNRESTRICTED DEMAND DURING THE YEAR 2000</t>
  </si>
  <si>
    <t>UNRESTRICTED DEMAND DURING THE YEAR 2001</t>
  </si>
  <si>
    <t>UNRESTRICTED DEMAND DURING THE YEAR 2002</t>
  </si>
  <si>
    <t>UNRESTRICTED DEMAND DURING THE YEAR 2003</t>
  </si>
  <si>
    <t>UNRESTRICTED DEMAND DURING THE YEAR 2004</t>
  </si>
  <si>
    <t>UNRESTRICTED DEMAND DURING THE YEAR 2005</t>
  </si>
  <si>
    <t>UNRESTRICTED DEMAND DURING THE YEAR 2006</t>
  </si>
  <si>
    <t>UNRESTRICTED DEMAND DURING THE YEAR 2007</t>
  </si>
  <si>
    <t>GENERATION WITHIN DELHI</t>
  </si>
  <si>
    <t>IP</t>
  </si>
  <si>
    <t>RPH</t>
  </si>
  <si>
    <t>GT</t>
  </si>
  <si>
    <t>Pragati</t>
  </si>
  <si>
    <t>BTPS</t>
  </si>
  <si>
    <t>Total Generation within Delhi</t>
  </si>
  <si>
    <t xml:space="preserve">AVAILABILITY FROM CENTRAL SECTOR STNs </t>
  </si>
  <si>
    <t xml:space="preserve">TOTAL </t>
  </si>
  <si>
    <t>ADDITIONAL TIE-UPS</t>
  </si>
  <si>
    <t xml:space="preserve">S. </t>
  </si>
  <si>
    <t>No.</t>
  </si>
  <si>
    <t>A.</t>
  </si>
  <si>
    <t>B.</t>
  </si>
  <si>
    <t>C.</t>
  </si>
  <si>
    <t>TOTAL</t>
  </si>
  <si>
    <t>DVC</t>
  </si>
  <si>
    <t>D.</t>
  </si>
  <si>
    <t>E.</t>
  </si>
  <si>
    <t>TOTAL AVAILABILITY INCLUDING BILATERALS (B+C+D)</t>
  </si>
  <si>
    <t>F.</t>
  </si>
  <si>
    <t>Shortage(-)/Surplus(+)  (F)= (E-A)</t>
  </si>
  <si>
    <t>Note :</t>
  </si>
  <si>
    <t>S. No.</t>
  </si>
  <si>
    <t>S.</t>
  </si>
  <si>
    <t>DETAILS</t>
  </si>
  <si>
    <t>NO.</t>
  </si>
  <si>
    <t>A</t>
  </si>
  <si>
    <t>B</t>
  </si>
  <si>
    <t>All figures in MW at Delhi Periphery</t>
  </si>
  <si>
    <t>NDPL POSITION</t>
  </si>
  <si>
    <t>Demand of NDPL (29.18% Energy Share) i.e. 29.18% of B.</t>
  </si>
  <si>
    <t>AVAILABILITY FOR NDPL</t>
  </si>
  <si>
    <t xml:space="preserve">Through CSGS &amp; State Sector existing projects </t>
  </si>
  <si>
    <t>Through un-allocated quota available with GNCTD</t>
  </si>
  <si>
    <t>Through DVC</t>
  </si>
  <si>
    <t>TOTAL AVAILIBILITY</t>
  </si>
  <si>
    <t xml:space="preserve">Anticipated Shortages (-) /Surplus (+) for NDPL area
</t>
  </si>
  <si>
    <t>BRPL POSITION</t>
  </si>
  <si>
    <t>Demand of BRPL (43.58% Energy Share) i.e. 43.58% of B.</t>
  </si>
  <si>
    <t>AVAILABILITY FOR BRPL</t>
  </si>
  <si>
    <t>BYPL POSITION</t>
  </si>
  <si>
    <t>Demand of BYPL (27.24% Energy Share) i.e. 27.24% of B.</t>
  </si>
  <si>
    <t>AVAILABILITY FOR BYPL</t>
  </si>
  <si>
    <t>NDMC POSITION</t>
  </si>
  <si>
    <t xml:space="preserve">Anticipated Demand of NDMC </t>
  </si>
  <si>
    <t>Anticipated Shortages (-) /Surplus (+) for NDMC area.</t>
  </si>
  <si>
    <t>MES POSITION</t>
  </si>
  <si>
    <t>Anticipated Demand of MES</t>
  </si>
  <si>
    <t>AVAILABILITY FOR MES from BTPS</t>
  </si>
  <si>
    <t>Anticipated Shortages (-) /Surplus (+) for MES area.</t>
  </si>
  <si>
    <t>OVERALL SHORTGES(-) / SURPLUS(+) for DELHI</t>
  </si>
  <si>
    <t>Reducing peak demand for NDMC &amp; MES from A</t>
  </si>
  <si>
    <r>
      <t>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Fortnight</t>
    </r>
  </si>
  <si>
    <r>
      <t>2</t>
    </r>
    <r>
      <rPr>
        <b/>
        <vertAlign val="superscript"/>
        <sz val="8"/>
        <rFont val="Times New Roman"/>
        <family val="1"/>
      </rPr>
      <t>nd</t>
    </r>
    <r>
      <rPr>
        <b/>
        <sz val="8"/>
        <rFont val="Times New Roman"/>
        <family val="1"/>
      </rPr>
      <t xml:space="preserve"> fortnight</t>
    </r>
  </si>
  <si>
    <r>
      <t>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fortnight</t>
    </r>
  </si>
  <si>
    <t>UNRESTRICTED DEMAND DURING THE YEAR 2008</t>
  </si>
  <si>
    <t>ANTICIPATED UNRESTRICTED DEMAND FOR 2009 AS PER NRPC METHOD</t>
  </si>
  <si>
    <t>JULY 2009</t>
  </si>
  <si>
    <t>JUNE 2009</t>
  </si>
  <si>
    <t>APRIL 2009</t>
  </si>
  <si>
    <t>MAY 2009</t>
  </si>
  <si>
    <t>AUGUST 2009</t>
  </si>
  <si>
    <t>SEPTEMBER 2009</t>
  </si>
  <si>
    <t>DAY PEAK</t>
  </si>
  <si>
    <t>EVE PEAK</t>
  </si>
  <si>
    <t>REST</t>
  </si>
  <si>
    <t>10 - 18 Hrs</t>
  </si>
  <si>
    <t>18 - 24 Hrs</t>
  </si>
  <si>
    <t>24 - 10 Hrs</t>
  </si>
  <si>
    <t>Total of (A) GENERATION WITHIN DELHI @ 90% availability factor for IP, RPH, GT &amp; PPCL AND 95% FOR BTPS.</t>
  </si>
  <si>
    <t xml:space="preserve"> AVAILABILITY FROM FIRM ALLOCATION FROM CENTRAL SECTOR STNs.( @ 95% availability for Thermal &amp; 99% availability for Hydro stations as per NRPC methododlogy)</t>
  </si>
  <si>
    <t>AVAILABILITY FROM UNALLOCATED CAPACITY OF EXISTING CENTRAL SECTOR STATIONS (@ 95% availability)</t>
  </si>
  <si>
    <t xml:space="preserve"> ADDITIONAL TIE-UPS (** Arrangements on Day ahead basis)</t>
  </si>
  <si>
    <t>Un-allocated capacity(298.1 MW ) available with GNCTD has been allocated to BYPL, NDPL &amp; BRPL and UA power from NDMC Allocation to BRPL as per GNCTD order no. F.11(41)/2007/Power/868 dated 31-3-2008.</t>
  </si>
  <si>
    <t>AVAILABILITY FOR NDMC from BTPS, DADRI &amp; PRAGATI.</t>
  </si>
  <si>
    <t>Availability from Un-allocated quota of Central Sector has been considered as 20% from 10:00 to 18: 00 hours  and 22% from 18:00 to 23:00 Hours as per the last year's pattern.</t>
  </si>
  <si>
    <t>ANTICIPATED DEMAND ROUNDED OFF</t>
  </si>
  <si>
    <t xml:space="preserve">                                                                                                                  (STATE LOAD DESPATCH CENTER)</t>
  </si>
  <si>
    <t>(i)</t>
  </si>
  <si>
    <t>(ii)</t>
  </si>
  <si>
    <t xml:space="preserve">Anticipated Shortages (-) /Surplus (+) for BYPL area. </t>
  </si>
  <si>
    <t>(iii)</t>
  </si>
  <si>
    <t>Anticipated Shortages (-) /Surplus (+) for BRPL area.</t>
  </si>
  <si>
    <t>(iv)</t>
  </si>
  <si>
    <t>Less 15% power towards UA Quota of GNCTD</t>
  </si>
  <si>
    <t>Net Availibility for NDMC</t>
  </si>
  <si>
    <t>(v)</t>
  </si>
  <si>
    <t>NOTE</t>
  </si>
  <si>
    <t>Through DVC Agreement</t>
  </si>
  <si>
    <t>JULY, 2009</t>
  </si>
  <si>
    <t>BRPL Banking Arrangement with PTC (upto 150 MW) 100 MW availibility has been considered.</t>
  </si>
  <si>
    <t>BRPL Banking Arrangement with Lanco (upto 200 MW) 100 MW availibility has been considered.</t>
  </si>
  <si>
    <t>BYPL Banking Arrangement with PTC (upto 150 MW) 100 MW availibility has been considered.</t>
  </si>
  <si>
    <t>BYPL Banking Arrangement with Lanco (upto 200 MW) 100 MW availibility has been considered.</t>
  </si>
  <si>
    <t>BRPL Banking Arrangement with RETL 30 MW availibility has been considered.</t>
  </si>
  <si>
    <t>BRPL Banking Arrangement with UPCL (100 to 200 MW) 100 MW availibility has been considered.</t>
  </si>
  <si>
    <t>BRPL Purchase Agreement with RETL</t>
  </si>
  <si>
    <t>BRPL Banking Arrangement with Rinfra Mumbai through RETL (up to 100 MW).</t>
  </si>
  <si>
    <t>BRPL Banking Arrangement with HPSEB</t>
  </si>
  <si>
    <t>BYPL Banking Arrangement with HPSEB</t>
  </si>
  <si>
    <t xml:space="preserve">BRPL Banking Arrangement with HPSEB </t>
  </si>
  <si>
    <t>ANTICIPATED  DEMAND FOR 2008-09 AS PER NRPC METHOD</t>
  </si>
  <si>
    <t xml:space="preserve">NDPL Banking arrangement with Rajasthan through TPTCL </t>
  </si>
  <si>
    <t xml:space="preserve">NDPL Banking arrangement with MP Tradeco through LANCO </t>
  </si>
  <si>
    <t xml:space="preserve">NDPL Banking arrangement with MP Tradeco through PTC </t>
  </si>
  <si>
    <t>NDPL Banking arrangement with Rajasthan through PTC</t>
  </si>
  <si>
    <t xml:space="preserve">                                                                                          DELHI TRANSCO LTD.</t>
  </si>
  <si>
    <t xml:space="preserve">                                                                           (STATE LOAD DESPATCH CENTER)</t>
  </si>
  <si>
    <t>As on 28-11-2008</t>
  </si>
  <si>
    <t>All figures in MW at Delhi periphery</t>
  </si>
  <si>
    <t>NOVEMBER 2008</t>
  </si>
  <si>
    <t>00-06 Hrs</t>
  </si>
  <si>
    <t>06-11 Hrs</t>
  </si>
  <si>
    <t>11-18 Hrs</t>
  </si>
  <si>
    <t>18-24 Hrs</t>
  </si>
  <si>
    <t>DEMAND PROFILE</t>
  </si>
  <si>
    <t>UNRESTRICTED DEMAND DURING THE MONTH IN 1999</t>
  </si>
  <si>
    <t>UNRESTRICTED DEMAND DURING THE MONTH IN 2000</t>
  </si>
  <si>
    <t>C</t>
  </si>
  <si>
    <t>UNRESTRICTED DEMAND DURING THE MONTH IN 2001</t>
  </si>
  <si>
    <t>D</t>
  </si>
  <si>
    <t>UNRESTRICTED DEMAND DURING THE MONTH IN 2002</t>
  </si>
  <si>
    <t>E</t>
  </si>
  <si>
    <t>UNRESTRICTED DEMAND DURING THE MONTH IN 2003</t>
  </si>
  <si>
    <t>F</t>
  </si>
  <si>
    <t>UNRESTRICTED DEMAND DURING THE MONTH IN 2004</t>
  </si>
  <si>
    <t>G</t>
  </si>
  <si>
    <t>UNRESTRICTED DEMAND DURING THE MONTH IN 2005</t>
  </si>
  <si>
    <t>H</t>
  </si>
  <si>
    <t>UNRESTRICTED DEMAND DURING THE MONTH IN 2006</t>
  </si>
  <si>
    <t>I</t>
  </si>
  <si>
    <t>UNRESTRICTED DEMAND DURING THE MONTH IN 2007</t>
  </si>
  <si>
    <t>ANTICIPATED UNRESTRICTED DEMAND FOR 2008-09 AS PER NRPC METHODOLOGY</t>
  </si>
  <si>
    <t>AVAILABILITY FROM OWN SOURCES</t>
  </si>
  <si>
    <t>IP STATION</t>
  </si>
  <si>
    <t>PRAGATI</t>
  </si>
  <si>
    <t>TOTAL WITHIN DELHI with BTPS @ 95% availibility and other stations at 90% availibility.</t>
  </si>
  <si>
    <t>AVAILIBILITY FROM CENTRAL SECTOR STATIONS</t>
  </si>
  <si>
    <t xml:space="preserve"> AVAILABILITY FROM FIRM ALLOCATION **</t>
  </si>
  <si>
    <t>AVAILABILITY FROM UNALLOCATED QUOTA **</t>
  </si>
  <si>
    <t>BILATERAL AGREEMENTS</t>
  </si>
  <si>
    <t>NDPL Banking arrangement with Haryana UHBVN</t>
  </si>
  <si>
    <t xml:space="preserve">TOTAL BILATERAL </t>
  </si>
  <si>
    <t>TOTAL AVAILABILITY (4+5+6)</t>
  </si>
  <si>
    <t>SURPLUS (+) / SHORTAGE (-) (7) - (3)</t>
  </si>
  <si>
    <t>ALLOCATION FROM UNALLOCATED QUOTA OF CSGSs ASSUMED @ 6% for Morning and evening hours</t>
  </si>
  <si>
    <t>**2</t>
  </si>
  <si>
    <t xml:space="preserve">HYDRO CAPACITY IS ASSUMED AS 80% FOR ONE TO TWO HOURS DURING PEAK HOURS AND 30% DURING OFF-PEAK HOURS, </t>
  </si>
  <si>
    <t>**3</t>
  </si>
  <si>
    <t>THERMAL CAPACITY IS ASSUMED AS 95% AS PER CEA NORMS DURING WINTER MONTHS.</t>
  </si>
  <si>
    <t xml:space="preserve">                                                              DELHI TRANSCO LTD.</t>
  </si>
  <si>
    <t xml:space="preserve">            ANTICIPATED POWER SUPPLY POSITION OF WINTER 2008-09 (DECEMBER 2008 &amp; JANUARY 2009)</t>
  </si>
  <si>
    <t>DECEMBER 2008</t>
  </si>
  <si>
    <t>JANUARY, 2009</t>
  </si>
  <si>
    <t>BTPS 95 MW UNIT # 1 WILL BE UNDER PLANNED MAINTENANCE FOR THE PERIOD 1st Dec to 15th DEC 2008.</t>
  </si>
  <si>
    <t xml:space="preserve">                                                               DELHI TRANSCO LTD.</t>
  </si>
  <si>
    <t xml:space="preserve">            ANTICIPATED POWER SUPPLY POSITION OF WINTER 2008-09 (FEBRUARY 2009 &amp; MARCH 2009)</t>
  </si>
  <si>
    <t>FEBRUARY 2009</t>
  </si>
  <si>
    <t>MARCH 2009</t>
  </si>
  <si>
    <t>UNRESTRICTED DEMAND DURING THE MONTH IN 2008</t>
  </si>
  <si>
    <t>BTPS 95 MW UNIT # 2 WILL BE UNDER PLANNED MAINTENANCE FOR THE PERIOD 1st FEB to 15th FEB 2009</t>
  </si>
  <si>
    <t>PRAGATI UNIT#2 (150 MW) SHALL BE UNDER SHUTDOWN FOR MAINTENANCE FROM 15th FEB TO 15th MAR 2009.</t>
  </si>
  <si>
    <t>RPH 67.5 MW Unit # 1 WILL BE UNDER PLANNED MAINTENANCE FOR THE PERIOD 12th MAR to 30th APR 2009</t>
  </si>
  <si>
    <t>BTPS 210 MW UNIT # 4 WILL BE UNDER PLANNED MAINTENANCE FOR THE PERIOD 15th MARCH TO 7th APRIL 2009</t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</si>
  <si>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Fortnight</t>
    </r>
  </si>
  <si>
    <r>
      <t>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fortnight</t>
    </r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</si>
  <si>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fortnight</t>
    </r>
  </si>
  <si>
    <t>ANTICIPATED UNRESTRICTED DEMAND FOR  2009-10 AS PER NRPC METHODOLOGY</t>
  </si>
  <si>
    <t xml:space="preserve">                        ANTICIPATED POWER SUPPLY POSITION OF OCTOBER 2009 </t>
  </si>
  <si>
    <t xml:space="preserve">                                        (STATE LOAD DESPATCH CENTER)</t>
  </si>
  <si>
    <t xml:space="preserve">                                      DELHI TRANSCO LTD.</t>
  </si>
  <si>
    <t>OCTOBER 2009</t>
  </si>
  <si>
    <t>ANTICIPATED UNRESTRICTED DEMAND FOR 2009 AS PER NRPC METHOD with 5% increase on 2008 Demand</t>
  </si>
  <si>
    <t>G.</t>
  </si>
  <si>
    <t>Shortage(-)/Surplus(+) with NRPC method Demand</t>
  </si>
  <si>
    <t>H.</t>
  </si>
  <si>
    <t>Shortage(-)/Surplus(+) with 5% Increased 2008 Demand</t>
  </si>
  <si>
    <t>ALL FIGURES IN MW AT DELHI PERIPHERY</t>
  </si>
  <si>
    <t>Mor Peak</t>
  </si>
  <si>
    <t>Eve Peak</t>
  </si>
  <si>
    <t xml:space="preserve">                                                                           SUMMARY OF  ANTICIPATED POWER SUPPLY SCENARIO OF DELHI FOR SUMMER 2009</t>
  </si>
  <si>
    <t xml:space="preserve">                                                                                             DETAILED ANTICIPATED POWER SUPPLY SCENARIO OF DELHI FOR SUMMER 2009</t>
  </si>
  <si>
    <t xml:space="preserve">                                                                                         DISCOM-WISE ANTICIPATED POWER SUPPLY SCENARIO FOR SUMMER 2009</t>
  </si>
  <si>
    <t xml:space="preserve">                                                                               DISCOM-WISE ANTICIPATED POWER SUPPLY SCENARIO FOR OCTOBER 2009</t>
  </si>
  <si>
    <t>NDPL Banking Arrangement with IPP in Rajasthan (60 MW).</t>
  </si>
  <si>
    <t>BRPL Banking Arrangement with IPP in Rajasthan (25 MW).</t>
  </si>
  <si>
    <t>BTPS 210 MW Unit # 4 will be under planned maintenance from 1st April TO 20th April 2009</t>
  </si>
  <si>
    <t>RPH 67.5 MW Unit # 1 will be under planned maintenance from 11th May to 30th June 2009.</t>
  </si>
  <si>
    <t>Pragati Unit#2 (104 MW) will be under planned shut down for maintenance from 22nd May to 20th June 2009.</t>
  </si>
  <si>
    <t>Pragati Unit#2 ((104+50) MW)) will be under planned shut down for maintenance from 22nd May to 20th June 2009.</t>
  </si>
  <si>
    <t>IP Generating station is being shut down permanently w.e.f 31st July 2009(subject to finalisation) hence availibility from IP has not been considered thereafter.</t>
  </si>
  <si>
    <t>NDPL Purchase agreement with Govt of HP</t>
  </si>
  <si>
    <t>As on 27-03-2009</t>
  </si>
  <si>
    <t>BTPS Unit # 1 (95 MW) will be under planned maintenance from 1st  August 2009 to 25 August 2009</t>
  </si>
  <si>
    <t>BTPS Unit # 2 (95 MW) will be under planned maintenance from 1st September 2009 to 15th October 2009</t>
  </si>
  <si>
    <t>Dadri (Thermal) Unit-3 (210MW) will be under planned shut-down during 11th October 2009 to 4th November 2009.</t>
  </si>
  <si>
    <t>Dadri (Thermal) Unit-4 (210MW) will be under planned shut-down during 1st September 2009 to 9th October 2009.</t>
  </si>
  <si>
    <t>As on 28.03.2009</t>
  </si>
  <si>
    <r>
      <t>RPH 67.5 MW UNIT # 1 WILL BE UNDER PLANNED MAINTENANCE SHUTDOWN FROM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OCTOBER to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NOVEMBER 2009.</t>
    </r>
  </si>
  <si>
    <t>OVERALL SHORTAGES(-) / SURPLUS(+) for DELHI</t>
  </si>
  <si>
    <t>Dadri (Thermal) Unit-4 (210MW) will be under planned shut-down during 15th September 2009 to 9th October 2009.</t>
  </si>
  <si>
    <t>Month</t>
  </si>
  <si>
    <t>Availability from source within Delhi and Central Sector</t>
  </si>
  <si>
    <t>Requirement</t>
  </si>
  <si>
    <t>To be arranged through bilateral arrangements</t>
  </si>
  <si>
    <t>Bilateral arrangements already made</t>
  </si>
  <si>
    <t>Balance to be arranged</t>
  </si>
  <si>
    <t>BRPL</t>
  </si>
  <si>
    <t>BYPL</t>
  </si>
  <si>
    <t>NDPL</t>
  </si>
  <si>
    <t>NDMC</t>
  </si>
  <si>
    <t>MES</t>
  </si>
  <si>
    <t>Nil</t>
  </si>
  <si>
    <t>Total Delhi</t>
  </si>
  <si>
    <t>APRIL</t>
  </si>
  <si>
    <t>MAY</t>
  </si>
  <si>
    <t>NIL</t>
  </si>
  <si>
    <t>JUNE</t>
  </si>
  <si>
    <t>JULY</t>
  </si>
  <si>
    <t>AUGUST</t>
  </si>
  <si>
    <t>SEPT</t>
  </si>
  <si>
    <t>OCT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</si>
</sst>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8"/>
      <name val="Arial"/>
      <family val="0"/>
    </font>
    <font>
      <i/>
      <sz val="11"/>
      <name val="Arial"/>
      <family val="2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0"/>
    </font>
    <font>
      <b/>
      <sz val="11"/>
      <color indexed="17"/>
      <name val="Arial"/>
      <family val="0"/>
    </font>
    <font>
      <sz val="12"/>
      <name val="Arial"/>
      <family val="0"/>
    </font>
    <font>
      <b/>
      <sz val="9"/>
      <name val="Times New Roman"/>
      <family val="1"/>
    </font>
    <font>
      <b/>
      <vertAlign val="superscript"/>
      <sz val="8"/>
      <name val="Arial"/>
      <family val="2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" xfId="0" applyBorder="1" applyAlignment="1">
      <alignment/>
    </xf>
    <xf numFmtId="0" fontId="7" fillId="0" borderId="2" xfId="0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1" fontId="0" fillId="0" borderId="5" xfId="0" applyNumberFormat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49" fontId="10" fillId="0" borderId="1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49" fontId="0" fillId="0" borderId="9" xfId="0" applyNumberForma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11" fillId="0" borderId="0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right"/>
    </xf>
    <xf numFmtId="0" fontId="0" fillId="0" borderId="17" xfId="0" applyBorder="1" applyAlignment="1">
      <alignment wrapText="1"/>
    </xf>
    <xf numFmtId="0" fontId="10" fillId="0" borderId="4" xfId="0" applyFont="1" applyBorder="1" applyAlignment="1">
      <alignment horizontal="right" vertical="top"/>
    </xf>
    <xf numFmtId="1" fontId="12" fillId="0" borderId="5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" fontId="0" fillId="0" borderId="21" xfId="0" applyNumberFormat="1" applyBorder="1" applyAlignment="1">
      <alignment horizontal="center" vertical="top"/>
    </xf>
    <xf numFmtId="1" fontId="0" fillId="0" borderId="14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center" vertical="top"/>
    </xf>
    <xf numFmtId="1" fontId="10" fillId="0" borderId="24" xfId="0" applyNumberFormat="1" applyFont="1" applyBorder="1" applyAlignment="1">
      <alignment horizontal="center" vertical="top"/>
    </xf>
    <xf numFmtId="1" fontId="0" fillId="0" borderId="9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0" fontId="23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49" fontId="10" fillId="0" borderId="25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1" fontId="10" fillId="0" borderId="26" xfId="0" applyNumberFormat="1" applyFont="1" applyBorder="1" applyAlignment="1">
      <alignment horizontal="center" vertical="top"/>
    </xf>
    <xf numFmtId="0" fontId="24" fillId="0" borderId="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" fontId="0" fillId="0" borderId="8" xfId="0" applyNumberFormat="1" applyBorder="1" applyAlignment="1">
      <alignment horizontal="center" vertical="top"/>
    </xf>
    <xf numFmtId="1" fontId="25" fillId="0" borderId="15" xfId="0" applyNumberFormat="1" applyFont="1" applyBorder="1" applyAlignment="1">
      <alignment horizontal="center" vertical="top"/>
    </xf>
    <xf numFmtId="1" fontId="25" fillId="0" borderId="27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9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5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left" wrapText="1"/>
    </xf>
    <xf numFmtId="1" fontId="10" fillId="0" borderId="23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top" wrapText="1"/>
    </xf>
    <xf numFmtId="1" fontId="10" fillId="0" borderId="30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left" vertical="top" wrapText="1"/>
    </xf>
    <xf numFmtId="1" fontId="0" fillId="0" borderId="30" xfId="0" applyNumberFormat="1" applyFont="1" applyBorder="1" applyAlignment="1">
      <alignment horizontal="center" vertical="top"/>
    </xf>
    <xf numFmtId="1" fontId="0" fillId="0" borderId="31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1" fontId="7" fillId="0" borderId="23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12" xfId="0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horizontal="center"/>
    </xf>
    <xf numFmtId="49" fontId="10" fillId="0" borderId="32" xfId="0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/>
    </xf>
    <xf numFmtId="0" fontId="0" fillId="0" borderId="34" xfId="0" applyFont="1" applyFill="1" applyBorder="1" applyAlignment="1">
      <alignment wrapText="1"/>
    </xf>
    <xf numFmtId="0" fontId="9" fillId="0" borderId="0" xfId="0" applyFont="1" applyAlignment="1">
      <alignment/>
    </xf>
    <xf numFmtId="1" fontId="27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1" fontId="0" fillId="0" borderId="9" xfId="0" applyNumberForma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1" fontId="10" fillId="0" borderId="26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10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1" fontId="0" fillId="0" borderId="5" xfId="0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0" fillId="0" borderId="18" xfId="0" applyFont="1" applyBorder="1" applyAlignment="1">
      <alignment horizontal="center"/>
    </xf>
    <xf numFmtId="49" fontId="10" fillId="0" borderId="37" xfId="0" applyNumberFormat="1" applyFont="1" applyBorder="1" applyAlignment="1">
      <alignment horizontal="left" vertical="top" wrapText="1"/>
    </xf>
    <xf numFmtId="1" fontId="10" fillId="0" borderId="18" xfId="0" applyNumberFormat="1" applyFont="1" applyBorder="1" applyAlignment="1">
      <alignment horizontal="center" vertical="top"/>
    </xf>
    <xf numFmtId="1" fontId="10" fillId="0" borderId="38" xfId="0" applyNumberFormat="1" applyFont="1" applyBorder="1" applyAlignment="1">
      <alignment horizontal="center" vertical="top"/>
    </xf>
    <xf numFmtId="1" fontId="10" fillId="0" borderId="39" xfId="0" applyNumberFormat="1" applyFont="1" applyBorder="1" applyAlignment="1">
      <alignment horizontal="center" vertical="top"/>
    </xf>
    <xf numFmtId="1" fontId="0" fillId="0" borderId="9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left" vertical="top" wrapText="1"/>
    </xf>
    <xf numFmtId="1" fontId="10" fillId="0" borderId="14" xfId="0" applyNumberFormat="1" applyFont="1" applyBorder="1" applyAlignment="1">
      <alignment horizontal="center" vertical="top"/>
    </xf>
    <xf numFmtId="1" fontId="10" fillId="0" borderId="21" xfId="0" applyNumberFormat="1" applyFont="1" applyBorder="1" applyAlignment="1">
      <alignment horizontal="center" vertical="top"/>
    </xf>
    <xf numFmtId="1" fontId="10" fillId="0" borderId="40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10" fillId="0" borderId="8" xfId="0" applyFont="1" applyBorder="1" applyAlignment="1">
      <alignment horizontal="center"/>
    </xf>
    <xf numFmtId="49" fontId="10" fillId="0" borderId="41" xfId="0" applyNumberFormat="1" applyFont="1" applyBorder="1" applyAlignment="1">
      <alignment horizontal="left" vertical="top" wrapText="1"/>
    </xf>
    <xf numFmtId="1" fontId="10" fillId="0" borderId="19" xfId="0" applyNumberFormat="1" applyFont="1" applyBorder="1" applyAlignment="1">
      <alignment horizontal="center" vertical="top"/>
    </xf>
    <xf numFmtId="1" fontId="10" fillId="0" borderId="42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174" fontId="1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Border="1" applyAlignment="1">
      <alignment/>
    </xf>
    <xf numFmtId="49" fontId="7" fillId="0" borderId="5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top"/>
    </xf>
    <xf numFmtId="1" fontId="10" fillId="0" borderId="7" xfId="0" applyNumberFormat="1" applyFont="1" applyBorder="1" applyAlignment="1">
      <alignment horizontal="center" vertical="top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 vertical="top"/>
    </xf>
    <xf numFmtId="1" fontId="10" fillId="0" borderId="17" xfId="0" applyNumberFormat="1" applyFont="1" applyBorder="1" applyAlignment="1">
      <alignment horizontal="center" vertical="top"/>
    </xf>
    <xf numFmtId="1" fontId="0" fillId="0" borderId="43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49" fontId="10" fillId="0" borderId="12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/>
    </xf>
    <xf numFmtId="1" fontId="0" fillId="0" borderId="3" xfId="0" applyNumberFormat="1" applyBorder="1" applyAlignment="1">
      <alignment horizontal="center" vertical="top"/>
    </xf>
    <xf numFmtId="1" fontId="22" fillId="0" borderId="3" xfId="0" applyNumberFormat="1" applyFont="1" applyBorder="1" applyAlignment="1">
      <alignment horizontal="center" vertical="top"/>
    </xf>
    <xf numFmtId="1" fontId="22" fillId="0" borderId="26" xfId="0" applyNumberFormat="1" applyFont="1" applyBorder="1" applyAlignment="1">
      <alignment horizontal="center" vertical="top"/>
    </xf>
    <xf numFmtId="1" fontId="22" fillId="0" borderId="23" xfId="0" applyNumberFormat="1" applyFon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0" fillId="0" borderId="16" xfId="0" applyFont="1" applyBorder="1" applyAlignment="1">
      <alignment horizontal="center" vertical="top"/>
    </xf>
    <xf numFmtId="49" fontId="0" fillId="0" borderId="24" xfId="0" applyNumberFormat="1" applyBorder="1" applyAlignment="1">
      <alignment vertical="top" wrapText="1"/>
    </xf>
    <xf numFmtId="0" fontId="0" fillId="0" borderId="44" xfId="0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left" vertical="top" wrapText="1"/>
    </xf>
    <xf numFmtId="0" fontId="0" fillId="0" borderId="44" xfId="0" applyFont="1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1" fontId="0" fillId="0" borderId="9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wrapText="1"/>
    </xf>
    <xf numFmtId="0" fontId="0" fillId="0" borderId="55" xfId="0" applyFont="1" applyBorder="1" applyAlignment="1">
      <alignment horizontal="center" wrapText="1"/>
    </xf>
    <xf numFmtId="1" fontId="0" fillId="0" borderId="56" xfId="0" applyNumberFormat="1" applyFont="1" applyBorder="1" applyAlignment="1">
      <alignment horizontal="center" wrapText="1"/>
    </xf>
    <xf numFmtId="1" fontId="0" fillId="0" borderId="57" xfId="0" applyNumberFormat="1" applyFont="1" applyBorder="1" applyAlignment="1">
      <alignment horizontal="center" wrapText="1"/>
    </xf>
    <xf numFmtId="1" fontId="0" fillId="0" borderId="58" xfId="0" applyNumberFormat="1" applyFont="1" applyBorder="1" applyAlignment="1">
      <alignment horizontal="center" wrapText="1"/>
    </xf>
    <xf numFmtId="1" fontId="0" fillId="0" borderId="55" xfId="0" applyNumberFormat="1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8" xfId="0" applyFont="1" applyBorder="1" applyAlignment="1">
      <alignment horizontal="center" vertical="top"/>
    </xf>
    <xf numFmtId="0" fontId="10" fillId="0" borderId="37" xfId="0" applyFont="1" applyFill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1" fontId="0" fillId="0" borderId="30" xfId="0" applyNumberFormat="1" applyFont="1" applyBorder="1" applyAlignment="1">
      <alignment horizontal="center" wrapText="1"/>
    </xf>
    <xf numFmtId="1" fontId="0" fillId="0" borderId="44" xfId="0" applyNumberFormat="1" applyFont="1" applyBorder="1" applyAlignment="1">
      <alignment horizontal="center" wrapText="1"/>
    </xf>
    <xf numFmtId="1" fontId="0" fillId="0" borderId="5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/>
    </xf>
    <xf numFmtId="0" fontId="0" fillId="0" borderId="32" xfId="0" applyFont="1" applyFill="1" applyBorder="1" applyAlignment="1">
      <alignment/>
    </xf>
    <xf numFmtId="0" fontId="0" fillId="0" borderId="40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1" fontId="0" fillId="0" borderId="40" xfId="0" applyNumberFormat="1" applyFont="1" applyBorder="1" applyAlignment="1">
      <alignment horizontal="center" wrapText="1"/>
    </xf>
    <xf numFmtId="1" fontId="0" fillId="0" borderId="59" xfId="0" applyNumberFormat="1" applyFont="1" applyBorder="1" applyAlignment="1">
      <alignment horizontal="center" wrapText="1"/>
    </xf>
    <xf numFmtId="1" fontId="0" fillId="0" borderId="60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/>
    </xf>
    <xf numFmtId="0" fontId="10" fillId="0" borderId="2" xfId="0" applyFont="1" applyFill="1" applyBorder="1" applyAlignment="1">
      <alignment wrapText="1"/>
    </xf>
    <xf numFmtId="1" fontId="10" fillId="0" borderId="30" xfId="0" applyNumberFormat="1" applyFont="1" applyBorder="1" applyAlignment="1">
      <alignment horizontal="center" wrapText="1"/>
    </xf>
    <xf numFmtId="1" fontId="10" fillId="0" borderId="44" xfId="0" applyNumberFormat="1" applyFont="1" applyBorder="1" applyAlignment="1">
      <alignment horizontal="center" wrapText="1"/>
    </xf>
    <xf numFmtId="1" fontId="10" fillId="0" borderId="53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/>
    </xf>
    <xf numFmtId="0" fontId="10" fillId="0" borderId="41" xfId="0" applyFont="1" applyFill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49" fontId="0" fillId="0" borderId="29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top"/>
    </xf>
    <xf numFmtId="0" fontId="0" fillId="0" borderId="4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top"/>
    </xf>
    <xf numFmtId="0" fontId="29" fillId="0" borderId="28" xfId="0" applyFont="1" applyFill="1" applyBorder="1" applyAlignment="1">
      <alignment wrapText="1"/>
    </xf>
    <xf numFmtId="1" fontId="29" fillId="0" borderId="62" xfId="0" applyNumberFormat="1" applyFont="1" applyBorder="1" applyAlignment="1">
      <alignment horizontal="center" wrapText="1"/>
    </xf>
    <xf numFmtId="1" fontId="29" fillId="0" borderId="63" xfId="0" applyNumberFormat="1" applyFont="1" applyBorder="1" applyAlignment="1">
      <alignment horizontal="center" wrapText="1"/>
    </xf>
    <xf numFmtId="1" fontId="29" fillId="0" borderId="64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7" fillId="0" borderId="28" xfId="0" applyFont="1" applyFill="1" applyBorder="1" applyAlignment="1">
      <alignment vertical="center" wrapText="1"/>
    </xf>
    <xf numFmtId="1" fontId="7" fillId="0" borderId="62" xfId="0" applyNumberFormat="1" applyFont="1" applyBorder="1" applyAlignment="1">
      <alignment horizontal="center" vertical="center" wrapText="1"/>
    </xf>
    <xf numFmtId="1" fontId="7" fillId="0" borderId="63" xfId="0" applyNumberFormat="1" applyFont="1" applyBorder="1" applyAlignment="1">
      <alignment horizontal="center" vertical="center" wrapText="1"/>
    </xf>
    <xf numFmtId="1" fontId="13" fillId="0" borderId="64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1" fontId="7" fillId="0" borderId="6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29" fillId="0" borderId="25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0" fontId="0" fillId="0" borderId="33" xfId="0" applyFont="1" applyBorder="1" applyAlignment="1">
      <alignment horizontal="left" wrapText="1"/>
    </xf>
    <xf numFmtId="0" fontId="24" fillId="0" borderId="5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10" fillId="0" borderId="53" xfId="0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1" fontId="0" fillId="0" borderId="54" xfId="0" applyNumberFormat="1" applyFont="1" applyBorder="1" applyAlignment="1">
      <alignment horizontal="center" wrapText="1"/>
    </xf>
    <xf numFmtId="1" fontId="0" fillId="0" borderId="6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49" fontId="0" fillId="0" borderId="2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right" vertical="top" wrapText="1"/>
    </xf>
    <xf numFmtId="0" fontId="0" fillId="0" borderId="33" xfId="0" applyFont="1" applyFill="1" applyBorder="1" applyAlignment="1">
      <alignment wrapText="1"/>
    </xf>
    <xf numFmtId="0" fontId="29" fillId="0" borderId="5" xfId="0" applyFont="1" applyBorder="1" applyAlignment="1">
      <alignment horizontal="center" vertical="top"/>
    </xf>
    <xf numFmtId="0" fontId="29" fillId="0" borderId="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10" fillId="0" borderId="4" xfId="0" applyFont="1" applyBorder="1" applyAlignment="1">
      <alignment horizontal="center" vertical="top"/>
    </xf>
    <xf numFmtId="0" fontId="10" fillId="0" borderId="28" xfId="0" applyFont="1" applyFill="1" applyBorder="1" applyAlignment="1">
      <alignment wrapText="1"/>
    </xf>
    <xf numFmtId="1" fontId="13" fillId="0" borderId="25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/>
    </xf>
    <xf numFmtId="0" fontId="30" fillId="0" borderId="7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30" fillId="0" borderId="1" xfId="0" applyFont="1" applyFill="1" applyBorder="1" applyAlignment="1">
      <alignment wrapText="1"/>
    </xf>
    <xf numFmtId="1" fontId="13" fillId="0" borderId="62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1" fontId="31" fillId="0" borderId="4" xfId="0" applyNumberFormat="1" applyFont="1" applyBorder="1" applyAlignment="1">
      <alignment horizontal="center" vertical="top"/>
    </xf>
    <xf numFmtId="1" fontId="31" fillId="0" borderId="5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1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right"/>
    </xf>
    <xf numFmtId="0" fontId="24" fillId="0" borderId="23" xfId="0" applyFont="1" applyBorder="1" applyAlignment="1">
      <alignment horizontal="right" vertical="top"/>
    </xf>
    <xf numFmtId="0" fontId="24" fillId="0" borderId="1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23" fillId="0" borderId="23" xfId="0" applyFont="1" applyBorder="1" applyAlignment="1">
      <alignment horizontal="right" vertical="top"/>
    </xf>
    <xf numFmtId="0" fontId="23" fillId="0" borderId="1" xfId="0" applyFont="1" applyBorder="1" applyAlignment="1">
      <alignment horizontal="left" vertical="top" wrapText="1"/>
    </xf>
    <xf numFmtId="1" fontId="34" fillId="0" borderId="5" xfId="0" applyNumberFormat="1" applyFont="1" applyBorder="1" applyAlignment="1">
      <alignment horizontal="center" vertical="top"/>
    </xf>
    <xf numFmtId="0" fontId="35" fillId="0" borderId="0" xfId="0" applyFont="1" applyAlignment="1">
      <alignment/>
    </xf>
    <xf numFmtId="0" fontId="23" fillId="0" borderId="28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49" fontId="10" fillId="0" borderId="28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right" vertical="top"/>
    </xf>
    <xf numFmtId="0" fontId="10" fillId="0" borderId="2" xfId="0" applyFont="1" applyBorder="1" applyAlignment="1">
      <alignment horizontal="left"/>
    </xf>
    <xf numFmtId="0" fontId="10" fillId="0" borderId="62" xfId="0" applyFont="1" applyBorder="1" applyAlignment="1">
      <alignment horizontal="right" vertical="top"/>
    </xf>
    <xf numFmtId="0" fontId="10" fillId="0" borderId="28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 vertical="top"/>
    </xf>
    <xf numFmtId="1" fontId="32" fillId="0" borderId="4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1" fontId="0" fillId="0" borderId="5" xfId="0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65" xfId="0" applyFont="1" applyBorder="1" applyAlignment="1">
      <alignment/>
    </xf>
    <xf numFmtId="1" fontId="10" fillId="0" borderId="11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7" xfId="0" applyFont="1" applyBorder="1" applyAlignment="1">
      <alignment/>
    </xf>
    <xf numFmtId="1" fontId="0" fillId="0" borderId="18" xfId="0" applyNumberFormat="1" applyFont="1" applyBorder="1" applyAlignment="1">
      <alignment horizontal="center" vertical="top"/>
    </xf>
    <xf numFmtId="1" fontId="0" fillId="0" borderId="38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1" fontId="10" fillId="0" borderId="15" xfId="0" applyNumberFormat="1" applyFont="1" applyBorder="1" applyAlignment="1">
      <alignment horizontal="center" vertical="top"/>
    </xf>
    <xf numFmtId="1" fontId="10" fillId="0" borderId="27" xfId="0" applyNumberFormat="1" applyFont="1" applyBorder="1" applyAlignment="1">
      <alignment horizontal="center" vertical="top"/>
    </xf>
    <xf numFmtId="1" fontId="10" fillId="0" borderId="47" xfId="0" applyNumberFormat="1" applyFont="1" applyBorder="1" applyAlignment="1">
      <alignment horizontal="center" vertical="top"/>
    </xf>
    <xf numFmtId="1" fontId="10" fillId="0" borderId="22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" fontId="24" fillId="0" borderId="19" xfId="0" applyNumberFormat="1" applyFont="1" applyBorder="1" applyAlignment="1">
      <alignment horizontal="center" vertical="top"/>
    </xf>
    <xf numFmtId="1" fontId="24" fillId="0" borderId="18" xfId="0" applyNumberFormat="1" applyFont="1" applyBorder="1" applyAlignment="1">
      <alignment horizontal="center" vertical="top"/>
    </xf>
    <xf numFmtId="0" fontId="10" fillId="0" borderId="65" xfId="0" applyFont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 horizontal="justify" vertical="top" wrapText="1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0" borderId="28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17" fontId="15" fillId="0" borderId="1" xfId="0" applyNumberFormat="1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5" fillId="0" borderId="1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49" fontId="7" fillId="0" borderId="6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0" fillId="0" borderId="47" xfId="0" applyFont="1" applyBorder="1" applyAlignment="1">
      <alignment horizontal="center" vertical="top" wrapText="1"/>
    </xf>
    <xf numFmtId="0" fontId="0" fillId="0" borderId="5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0" fillId="0" borderId="49" xfId="0" applyFont="1" applyBorder="1" applyAlignment="1">
      <alignment horizontal="center" vertical="top" wrapText="1"/>
    </xf>
    <xf numFmtId="0" fontId="0" fillId="0" borderId="5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0" fillId="0" borderId="2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" fontId="10" fillId="0" borderId="2" xfId="0" applyNumberFormat="1" applyFont="1" applyBorder="1" applyAlignment="1" quotePrefix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31">
      <selection activeCell="B53" sqref="B53"/>
    </sheetView>
  </sheetViews>
  <sheetFormatPr defaultColWidth="9.140625" defaultRowHeight="12.75"/>
  <cols>
    <col min="1" max="1" width="4.7109375" style="0" customWidth="1"/>
    <col min="2" max="2" width="61.421875" style="0" customWidth="1"/>
    <col min="3" max="3" width="9.57421875" style="0" customWidth="1"/>
    <col min="4" max="4" width="9.7109375" style="0" customWidth="1"/>
    <col min="5" max="5" width="9.421875" style="0" customWidth="1"/>
    <col min="6" max="6" width="10.7109375" style="0" customWidth="1"/>
    <col min="7" max="7" width="10.28125" style="0" customWidth="1"/>
    <col min="8" max="8" width="11.28125" style="0" customWidth="1"/>
    <col min="9" max="9" width="10.00390625" style="0" customWidth="1"/>
    <col min="10" max="12" width="9.57421875" style="0" customWidth="1"/>
    <col min="13" max="13" width="9.8515625" style="0" customWidth="1"/>
    <col min="14" max="14" width="9.421875" style="0" customWidth="1"/>
  </cols>
  <sheetData>
    <row r="1" spans="3:14" ht="15.75" customHeight="1">
      <c r="C1" s="2" t="s">
        <v>0</v>
      </c>
      <c r="G1" s="1"/>
      <c r="H1" s="1"/>
      <c r="I1" s="1"/>
      <c r="J1" s="1"/>
      <c r="K1" s="1"/>
      <c r="L1" s="1"/>
      <c r="M1" s="1"/>
      <c r="N1" s="1"/>
    </row>
    <row r="2" spans="2:14" ht="17.25" customHeight="1">
      <c r="B2" s="5" t="s">
        <v>194</v>
      </c>
      <c r="D2" s="1"/>
      <c r="E2" s="1"/>
      <c r="F2" s="3"/>
      <c r="G2" s="1"/>
      <c r="H2" s="1"/>
      <c r="I2" s="1"/>
      <c r="L2" s="1"/>
      <c r="M2" s="1"/>
      <c r="N2" s="1"/>
    </row>
    <row r="3" spans="2:13" ht="19.5" customHeight="1" thickBot="1">
      <c r="B3" s="38" t="s">
        <v>1</v>
      </c>
      <c r="C3" s="6"/>
      <c r="D3" s="1"/>
      <c r="E3" s="1"/>
      <c r="F3" s="6"/>
      <c r="G3" s="1"/>
      <c r="H3" s="1"/>
      <c r="J3" s="1"/>
      <c r="K3" s="1"/>
      <c r="M3" s="430" t="s">
        <v>211</v>
      </c>
    </row>
    <row r="4" spans="1:14" ht="16.5" thickBot="1">
      <c r="A4" s="39"/>
      <c r="B4" s="63"/>
      <c r="C4" s="7"/>
      <c r="D4" s="9"/>
      <c r="E4" s="8" t="s">
        <v>73</v>
      </c>
      <c r="F4" s="9"/>
      <c r="G4" s="9"/>
      <c r="H4" s="10"/>
      <c r="I4" s="7"/>
      <c r="J4" s="9"/>
      <c r="K4" s="8" t="s">
        <v>74</v>
      </c>
      <c r="L4" s="9"/>
      <c r="M4" s="9"/>
      <c r="N4" s="10"/>
    </row>
    <row r="5" spans="1:14" ht="13.5" thickBot="1">
      <c r="A5" s="41" t="s">
        <v>23</v>
      </c>
      <c r="B5" s="64" t="s">
        <v>2</v>
      </c>
      <c r="C5" s="447" t="s">
        <v>3</v>
      </c>
      <c r="D5" s="439"/>
      <c r="E5" s="440"/>
      <c r="F5" s="441" t="s">
        <v>4</v>
      </c>
      <c r="G5" s="442"/>
      <c r="H5" s="443"/>
      <c r="I5" s="441" t="s">
        <v>3</v>
      </c>
      <c r="J5" s="444"/>
      <c r="K5" s="445"/>
      <c r="L5" s="446" t="s">
        <v>4</v>
      </c>
      <c r="M5" s="442"/>
      <c r="N5" s="443"/>
    </row>
    <row r="6" spans="1:14" ht="13.5" thickBot="1">
      <c r="A6" s="41" t="s">
        <v>24</v>
      </c>
      <c r="B6" s="14"/>
      <c r="C6" s="12" t="s">
        <v>77</v>
      </c>
      <c r="D6" s="13" t="s">
        <v>78</v>
      </c>
      <c r="E6" s="13" t="s">
        <v>79</v>
      </c>
      <c r="F6" s="12" t="s">
        <v>77</v>
      </c>
      <c r="G6" s="13" t="s">
        <v>78</v>
      </c>
      <c r="H6" s="13" t="s">
        <v>79</v>
      </c>
      <c r="I6" s="12" t="s">
        <v>77</v>
      </c>
      <c r="J6" s="13" t="s">
        <v>78</v>
      </c>
      <c r="K6" s="13" t="s">
        <v>79</v>
      </c>
      <c r="L6" s="12" t="s">
        <v>77</v>
      </c>
      <c r="M6" s="13" t="s">
        <v>78</v>
      </c>
      <c r="N6" s="13" t="s">
        <v>79</v>
      </c>
    </row>
    <row r="7" spans="1:14" ht="15" customHeight="1" thickBot="1">
      <c r="A7" s="375"/>
      <c r="B7" s="367"/>
      <c r="C7" s="373" t="s">
        <v>80</v>
      </c>
      <c r="D7" s="374" t="s">
        <v>81</v>
      </c>
      <c r="E7" s="374" t="s">
        <v>82</v>
      </c>
      <c r="F7" s="373" t="s">
        <v>80</v>
      </c>
      <c r="G7" s="374" t="s">
        <v>81</v>
      </c>
      <c r="H7" s="374" t="s">
        <v>82</v>
      </c>
      <c r="I7" s="373" t="s">
        <v>80</v>
      </c>
      <c r="J7" s="374" t="s">
        <v>81</v>
      </c>
      <c r="K7" s="374" t="s">
        <v>82</v>
      </c>
      <c r="L7" s="373" t="s">
        <v>80</v>
      </c>
      <c r="M7" s="374" t="s">
        <v>81</v>
      </c>
      <c r="N7" s="374" t="s">
        <v>82</v>
      </c>
    </row>
    <row r="8" spans="1:14" s="380" customFormat="1" ht="29.25" customHeight="1" thickBot="1">
      <c r="A8" s="376" t="s">
        <v>25</v>
      </c>
      <c r="B8" s="377" t="s">
        <v>70</v>
      </c>
      <c r="C8" s="378">
        <v>3050</v>
      </c>
      <c r="D8" s="379">
        <v>3200</v>
      </c>
      <c r="E8" s="379">
        <v>2800</v>
      </c>
      <c r="F8" s="378">
        <v>3650</v>
      </c>
      <c r="G8" s="379">
        <v>3550</v>
      </c>
      <c r="H8" s="379">
        <v>3200</v>
      </c>
      <c r="I8" s="378">
        <v>3550</v>
      </c>
      <c r="J8" s="379">
        <v>3500</v>
      </c>
      <c r="K8" s="379">
        <v>3100</v>
      </c>
      <c r="L8" s="378">
        <v>3600</v>
      </c>
      <c r="M8" s="379">
        <v>3400</v>
      </c>
      <c r="N8" s="379">
        <v>3100</v>
      </c>
    </row>
    <row r="9" spans="1:14" s="384" customFormat="1" ht="25.5" customHeight="1" thickBot="1">
      <c r="A9" s="381" t="s">
        <v>26</v>
      </c>
      <c r="B9" s="382" t="s">
        <v>186</v>
      </c>
      <c r="C9" s="383">
        <f>+'Delhi SummerApr-Sep'!C18</f>
        <v>3250</v>
      </c>
      <c r="D9" s="383">
        <f>+'Delhi SummerApr-Sep'!D18</f>
        <v>3400</v>
      </c>
      <c r="E9" s="383">
        <f>+'Delhi SummerApr-Sep'!E18</f>
        <v>3000</v>
      </c>
      <c r="F9" s="383">
        <f>+'Delhi SummerApr-Sep'!F18</f>
        <v>3900</v>
      </c>
      <c r="G9" s="383">
        <f>+'Delhi SummerApr-Sep'!G18</f>
        <v>3800</v>
      </c>
      <c r="H9" s="383">
        <f>+'Delhi SummerApr-Sep'!H18</f>
        <v>3400</v>
      </c>
      <c r="I9" s="383">
        <f>+'Delhi SummerApr-Sep'!I18</f>
        <v>3800</v>
      </c>
      <c r="J9" s="383">
        <f>+'Delhi SummerApr-Sep'!J18</f>
        <v>3750</v>
      </c>
      <c r="K9" s="383">
        <f>+'Delhi SummerApr-Sep'!K18</f>
        <v>3300</v>
      </c>
      <c r="L9" s="383">
        <f>+'Delhi SummerApr-Sep'!L18</f>
        <v>3850</v>
      </c>
      <c r="M9" s="383">
        <f>+'Delhi SummerApr-Sep'!M18</f>
        <v>3650</v>
      </c>
      <c r="N9" s="383">
        <f>+'Delhi SummerApr-Sep'!N18</f>
        <v>3350</v>
      </c>
    </row>
    <row r="10" spans="1:14" ht="15" thickBot="1">
      <c r="A10" s="388" t="s">
        <v>27</v>
      </c>
      <c r="B10" s="389" t="s">
        <v>13</v>
      </c>
      <c r="C10" s="369">
        <f>+'Delhi SummerApr-Sep'!C26</f>
        <v>1048.44</v>
      </c>
      <c r="D10" s="369">
        <f>+'Delhi SummerApr-Sep'!D26</f>
        <v>1048.44</v>
      </c>
      <c r="E10" s="369">
        <f>+'Delhi SummerApr-Sep'!E26</f>
        <v>1048.44</v>
      </c>
      <c r="F10" s="369">
        <f>+'Delhi SummerApr-Sep'!F26</f>
        <v>1224</v>
      </c>
      <c r="G10" s="369">
        <f>+'Delhi SummerApr-Sep'!G26</f>
        <v>1224</v>
      </c>
      <c r="H10" s="369">
        <f>+'Delhi SummerApr-Sep'!H26</f>
        <v>1224</v>
      </c>
      <c r="I10" s="369">
        <f>+'Delhi SummerApr-Sep'!I26</f>
        <v>1224</v>
      </c>
      <c r="J10" s="369">
        <f>+'Delhi SummerApr-Sep'!J26</f>
        <v>1224</v>
      </c>
      <c r="K10" s="369">
        <f>+'Delhi SummerApr-Sep'!K26</f>
        <v>1224</v>
      </c>
      <c r="L10" s="369">
        <f>+'Delhi SummerApr-Sep'!L26</f>
        <v>1046.7</v>
      </c>
      <c r="M10" s="369">
        <f>+'Delhi SummerApr-Sep'!M26</f>
        <v>1046.7</v>
      </c>
      <c r="N10" s="369">
        <f>+'Delhi SummerApr-Sep'!N26</f>
        <v>1046.7</v>
      </c>
    </row>
    <row r="11" spans="1:14" ht="15" thickBot="1">
      <c r="A11" s="390" t="s">
        <v>30</v>
      </c>
      <c r="B11" s="387" t="s">
        <v>20</v>
      </c>
      <c r="C11" s="368">
        <f>+'Delhi SummerApr-Sep'!C30</f>
        <v>2148</v>
      </c>
      <c r="D11" s="368">
        <f>+'Delhi SummerApr-Sep'!D30</f>
        <v>2172</v>
      </c>
      <c r="E11" s="368">
        <f>+'Delhi SummerApr-Sep'!E30</f>
        <v>1918</v>
      </c>
      <c r="F11" s="368">
        <f>+'Delhi SummerApr-Sep'!F30</f>
        <v>2148</v>
      </c>
      <c r="G11" s="368">
        <f>+'Delhi SummerApr-Sep'!G30</f>
        <v>2172</v>
      </c>
      <c r="H11" s="368">
        <f>+'Delhi SummerApr-Sep'!H30</f>
        <v>1918</v>
      </c>
      <c r="I11" s="368">
        <f>+'Delhi SummerApr-Sep'!I30</f>
        <v>2148</v>
      </c>
      <c r="J11" s="368">
        <f>+'Delhi SummerApr-Sep'!J30</f>
        <v>2172</v>
      </c>
      <c r="K11" s="368">
        <f>+'Delhi SummerApr-Sep'!K30</f>
        <v>1918</v>
      </c>
      <c r="L11" s="368">
        <f>+'Delhi SummerApr-Sep'!L30</f>
        <v>2148</v>
      </c>
      <c r="M11" s="368">
        <f>+'Delhi SummerApr-Sep'!M30</f>
        <v>2172</v>
      </c>
      <c r="N11" s="368">
        <f>+'Delhi SummerApr-Sep'!N30</f>
        <v>1918</v>
      </c>
    </row>
    <row r="12" spans="1:14" ht="14.25" customHeight="1" thickBot="1">
      <c r="A12" s="390" t="s">
        <v>31</v>
      </c>
      <c r="B12" s="391" t="s">
        <v>86</v>
      </c>
      <c r="C12" s="368">
        <f>+'Delhi SummerApr-Sep'!C42</f>
        <v>568.86</v>
      </c>
      <c r="D12" s="368">
        <f>+'Delhi SummerApr-Sep'!D42</f>
        <v>568.86</v>
      </c>
      <c r="E12" s="368">
        <f>+'Delhi SummerApr-Sep'!E42</f>
        <v>498.86</v>
      </c>
      <c r="F12" s="368">
        <f>+'Delhi SummerApr-Sep'!F42</f>
        <v>622.86</v>
      </c>
      <c r="G12" s="368">
        <f>+'Delhi SummerApr-Sep'!G42</f>
        <v>622.86</v>
      </c>
      <c r="H12" s="368">
        <f>+'Delhi SummerApr-Sep'!H42</f>
        <v>622.86</v>
      </c>
      <c r="I12" s="368">
        <f>+'Delhi SummerApr-Sep'!I42</f>
        <v>541.6</v>
      </c>
      <c r="J12" s="368">
        <f>+'Delhi SummerApr-Sep'!J42</f>
        <v>541.6</v>
      </c>
      <c r="K12" s="368">
        <f>+'Delhi SummerApr-Sep'!K42</f>
        <v>445.6</v>
      </c>
      <c r="L12" s="368">
        <f>+'Delhi SummerApr-Sep'!L42</f>
        <v>541.6</v>
      </c>
      <c r="M12" s="368">
        <f>+'Delhi SummerApr-Sep'!M42</f>
        <v>541.6</v>
      </c>
      <c r="N12" s="368">
        <f>+'Delhi SummerApr-Sep'!N42</f>
        <v>445.6</v>
      </c>
    </row>
    <row r="13" spans="1:14" ht="15.75" thickBot="1">
      <c r="A13" s="390" t="s">
        <v>33</v>
      </c>
      <c r="B13" s="387" t="s">
        <v>32</v>
      </c>
      <c r="C13" s="392">
        <f>SUM(C10:C12)</f>
        <v>3765.3</v>
      </c>
      <c r="D13" s="392">
        <f aca="true" t="shared" si="0" ref="D13:N13">SUM(D10:D12)</f>
        <v>3789.3</v>
      </c>
      <c r="E13" s="392">
        <f t="shared" si="0"/>
        <v>3465.3</v>
      </c>
      <c r="F13" s="392">
        <f t="shared" si="0"/>
        <v>3994.86</v>
      </c>
      <c r="G13" s="392">
        <f t="shared" si="0"/>
        <v>4018.86</v>
      </c>
      <c r="H13" s="392">
        <f t="shared" si="0"/>
        <v>3764.86</v>
      </c>
      <c r="I13" s="392">
        <f t="shared" si="0"/>
        <v>3913.6</v>
      </c>
      <c r="J13" s="392">
        <f t="shared" si="0"/>
        <v>3937.6</v>
      </c>
      <c r="K13" s="392">
        <f t="shared" si="0"/>
        <v>3587.6</v>
      </c>
      <c r="L13" s="392">
        <f t="shared" si="0"/>
        <v>3736.2999999999997</v>
      </c>
      <c r="M13" s="392">
        <f t="shared" si="0"/>
        <v>3760.2999999999997</v>
      </c>
      <c r="N13" s="392">
        <f t="shared" si="0"/>
        <v>3410.2999999999997</v>
      </c>
    </row>
    <row r="14" spans="1:14" ht="14.25" customHeight="1" thickBot="1">
      <c r="A14" s="390" t="s">
        <v>187</v>
      </c>
      <c r="B14" s="386" t="s">
        <v>188</v>
      </c>
      <c r="C14" s="392">
        <f>+C13-C8</f>
        <v>715.3000000000002</v>
      </c>
      <c r="D14" s="392">
        <f aca="true" t="shared" si="1" ref="D14:N14">+D13-D8</f>
        <v>589.3000000000002</v>
      </c>
      <c r="E14" s="392">
        <f t="shared" si="1"/>
        <v>665.3000000000002</v>
      </c>
      <c r="F14" s="392">
        <f t="shared" si="1"/>
        <v>344.8600000000001</v>
      </c>
      <c r="G14" s="392">
        <f t="shared" si="1"/>
        <v>468.8600000000001</v>
      </c>
      <c r="H14" s="392">
        <f t="shared" si="1"/>
        <v>564.8600000000001</v>
      </c>
      <c r="I14" s="392">
        <f t="shared" si="1"/>
        <v>363.5999999999999</v>
      </c>
      <c r="J14" s="392">
        <f t="shared" si="1"/>
        <v>437.5999999999999</v>
      </c>
      <c r="K14" s="392">
        <f t="shared" si="1"/>
        <v>487.5999999999999</v>
      </c>
      <c r="L14" s="392">
        <f t="shared" si="1"/>
        <v>136.29999999999973</v>
      </c>
      <c r="M14" s="392">
        <f t="shared" si="1"/>
        <v>360.2999999999997</v>
      </c>
      <c r="N14" s="392">
        <f t="shared" si="1"/>
        <v>310.2999999999997</v>
      </c>
    </row>
    <row r="15" spans="1:14" ht="14.25" customHeight="1" thickBot="1">
      <c r="A15" s="394" t="s">
        <v>189</v>
      </c>
      <c r="B15" s="385" t="s">
        <v>190</v>
      </c>
      <c r="C15" s="392">
        <f>+C13-C9</f>
        <v>515.3000000000002</v>
      </c>
      <c r="D15" s="392">
        <f aca="true" t="shared" si="2" ref="D15:N15">+D13-D9</f>
        <v>389.3000000000002</v>
      </c>
      <c r="E15" s="392">
        <f t="shared" si="2"/>
        <v>465.3000000000002</v>
      </c>
      <c r="F15" s="392">
        <f t="shared" si="2"/>
        <v>94.86000000000013</v>
      </c>
      <c r="G15" s="392">
        <f t="shared" si="2"/>
        <v>218.86000000000013</v>
      </c>
      <c r="H15" s="392">
        <f t="shared" si="2"/>
        <v>364.8600000000001</v>
      </c>
      <c r="I15" s="392">
        <f t="shared" si="2"/>
        <v>113.59999999999991</v>
      </c>
      <c r="J15" s="392">
        <f t="shared" si="2"/>
        <v>187.5999999999999</v>
      </c>
      <c r="K15" s="392">
        <f t="shared" si="2"/>
        <v>287.5999999999999</v>
      </c>
      <c r="L15" s="393">
        <f t="shared" si="2"/>
        <v>-113.70000000000027</v>
      </c>
      <c r="M15" s="392">
        <f t="shared" si="2"/>
        <v>110.29999999999973</v>
      </c>
      <c r="N15" s="392">
        <f t="shared" si="2"/>
        <v>60.29999999999973</v>
      </c>
    </row>
    <row r="16" spans="1:14" ht="14.25" customHeight="1" thickBot="1">
      <c r="A16" s="371"/>
      <c r="B16" s="37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ht="16.5" thickBot="1">
      <c r="A17" s="39"/>
      <c r="B17" s="63"/>
      <c r="C17" s="7"/>
      <c r="D17" s="9"/>
      <c r="E17" s="8" t="s">
        <v>72</v>
      </c>
      <c r="F17" s="9"/>
      <c r="G17" s="9"/>
      <c r="H17" s="10"/>
      <c r="I17" s="7"/>
      <c r="J17" s="9"/>
      <c r="K17" s="8" t="s">
        <v>71</v>
      </c>
      <c r="L17" s="9"/>
      <c r="M17" s="9"/>
      <c r="N17" s="10"/>
    </row>
    <row r="18" spans="1:14" ht="13.5" thickBot="1">
      <c r="A18" s="41" t="s">
        <v>23</v>
      </c>
      <c r="B18" s="64" t="s">
        <v>2</v>
      </c>
      <c r="C18" s="447" t="s">
        <v>3</v>
      </c>
      <c r="D18" s="439"/>
      <c r="E18" s="440"/>
      <c r="F18" s="441" t="s">
        <v>4</v>
      </c>
      <c r="G18" s="442"/>
      <c r="H18" s="443"/>
      <c r="I18" s="441" t="s">
        <v>3</v>
      </c>
      <c r="J18" s="444"/>
      <c r="K18" s="445"/>
      <c r="L18" s="446" t="s">
        <v>4</v>
      </c>
      <c r="M18" s="442"/>
      <c r="N18" s="443"/>
    </row>
    <row r="19" spans="1:14" ht="13.5" thickBot="1">
      <c r="A19" s="43" t="s">
        <v>24</v>
      </c>
      <c r="B19" s="14"/>
      <c r="C19" s="12" t="s">
        <v>77</v>
      </c>
      <c r="D19" s="13" t="s">
        <v>78</v>
      </c>
      <c r="E19" s="13" t="s">
        <v>79</v>
      </c>
      <c r="F19" s="12" t="s">
        <v>77</v>
      </c>
      <c r="G19" s="13" t="s">
        <v>78</v>
      </c>
      <c r="H19" s="13" t="s">
        <v>79</v>
      </c>
      <c r="I19" s="12" t="s">
        <v>77</v>
      </c>
      <c r="J19" s="13" t="s">
        <v>78</v>
      </c>
      <c r="K19" s="13" t="s">
        <v>79</v>
      </c>
      <c r="L19" s="12" t="s">
        <v>77</v>
      </c>
      <c r="M19" s="13" t="s">
        <v>78</v>
      </c>
      <c r="N19" s="13" t="s">
        <v>79</v>
      </c>
    </row>
    <row r="20" spans="1:14" s="380" customFormat="1" ht="29.25" customHeight="1" thickBot="1">
      <c r="A20" s="376" t="s">
        <v>25</v>
      </c>
      <c r="B20" s="377" t="s">
        <v>70</v>
      </c>
      <c r="C20" s="378">
        <v>3800</v>
      </c>
      <c r="D20" s="379">
        <v>3800</v>
      </c>
      <c r="E20" s="379">
        <v>3400</v>
      </c>
      <c r="F20" s="378">
        <v>4050</v>
      </c>
      <c r="G20" s="379">
        <v>3900</v>
      </c>
      <c r="H20" s="379">
        <v>3500</v>
      </c>
      <c r="I20" s="378">
        <v>4100</v>
      </c>
      <c r="J20" s="379">
        <v>3950</v>
      </c>
      <c r="K20" s="379">
        <v>3450</v>
      </c>
      <c r="L20" s="378">
        <v>4200</v>
      </c>
      <c r="M20" s="379">
        <v>4000</v>
      </c>
      <c r="N20" s="379">
        <v>3600</v>
      </c>
    </row>
    <row r="21" spans="1:14" s="384" customFormat="1" ht="28.5" customHeight="1" thickBot="1">
      <c r="A21" s="381" t="s">
        <v>26</v>
      </c>
      <c r="B21" s="382" t="s">
        <v>186</v>
      </c>
      <c r="C21" s="383">
        <f>+'Delhi SummerApr-Sep'!C69</f>
        <v>4050</v>
      </c>
      <c r="D21" s="383">
        <f>+'Delhi SummerApr-Sep'!D69</f>
        <v>4050</v>
      </c>
      <c r="E21" s="383">
        <f>+'Delhi SummerApr-Sep'!E69</f>
        <v>3650</v>
      </c>
      <c r="F21" s="383">
        <f>+'Delhi SummerApr-Sep'!F69</f>
        <v>4350</v>
      </c>
      <c r="G21" s="383">
        <f>+'Delhi SummerApr-Sep'!G69</f>
        <v>4200</v>
      </c>
      <c r="H21" s="383">
        <f>+'Delhi SummerApr-Sep'!H69</f>
        <v>3750</v>
      </c>
      <c r="I21" s="383">
        <f>+'Delhi SummerApr-Sep'!I69</f>
        <v>4400</v>
      </c>
      <c r="J21" s="383">
        <f>+'Delhi SummerApr-Sep'!J69</f>
        <v>4250</v>
      </c>
      <c r="K21" s="383">
        <f>+'Delhi SummerApr-Sep'!K69</f>
        <v>3700</v>
      </c>
      <c r="L21" s="383">
        <f>+'Delhi SummerApr-Sep'!L69</f>
        <v>4500</v>
      </c>
      <c r="M21" s="383">
        <f>+'Delhi SummerApr-Sep'!M69</f>
        <v>4250</v>
      </c>
      <c r="N21" s="383">
        <f>+'Delhi SummerApr-Sep'!N69</f>
        <v>3850</v>
      </c>
    </row>
    <row r="22" spans="1:14" ht="15" thickBot="1">
      <c r="A22" s="388" t="s">
        <v>27</v>
      </c>
      <c r="B22" s="389" t="s">
        <v>13</v>
      </c>
      <c r="C22" s="369">
        <f>+'Delhi SummerApr-Sep'!C77</f>
        <v>1046.7</v>
      </c>
      <c r="D22" s="369">
        <f>+'Delhi SummerApr-Sep'!D77</f>
        <v>1046.7</v>
      </c>
      <c r="E22" s="369">
        <f>+'Delhi SummerApr-Sep'!E77</f>
        <v>1046.7</v>
      </c>
      <c r="F22" s="369">
        <f>+'Delhi SummerApr-Sep'!F77</f>
        <v>1181.7</v>
      </c>
      <c r="G22" s="369">
        <f>+'Delhi SummerApr-Sep'!G77</f>
        <v>1181.7</v>
      </c>
      <c r="H22" s="369">
        <f>+'Delhi SummerApr-Sep'!H77</f>
        <v>1181.7</v>
      </c>
      <c r="I22" s="369">
        <f>+'Delhi SummerApr-Sep'!I77</f>
        <v>1224</v>
      </c>
      <c r="J22" s="369">
        <f>+'Delhi SummerApr-Sep'!J77</f>
        <v>1224</v>
      </c>
      <c r="K22" s="369">
        <f>+'Delhi SummerApr-Sep'!K77</f>
        <v>1224</v>
      </c>
      <c r="L22" s="369">
        <f>+'Delhi SummerApr-Sep'!L77</f>
        <v>1224</v>
      </c>
      <c r="M22" s="369">
        <f>+'Delhi SummerApr-Sep'!M77</f>
        <v>1224</v>
      </c>
      <c r="N22" s="369">
        <f>+'Delhi SummerApr-Sep'!N77</f>
        <v>1224</v>
      </c>
    </row>
    <row r="23" spans="1:14" ht="15" thickBot="1">
      <c r="A23" s="390" t="s">
        <v>30</v>
      </c>
      <c r="B23" s="387" t="s">
        <v>20</v>
      </c>
      <c r="C23" s="368">
        <f>+'Delhi SummerApr-Sep'!C81</f>
        <v>2148</v>
      </c>
      <c r="D23" s="368">
        <f>+'Delhi SummerApr-Sep'!D81</f>
        <v>2172</v>
      </c>
      <c r="E23" s="368">
        <f>+'Delhi SummerApr-Sep'!E81</f>
        <v>1918</v>
      </c>
      <c r="F23" s="368">
        <f>+'Delhi SummerApr-Sep'!F81</f>
        <v>2148</v>
      </c>
      <c r="G23" s="368">
        <f>+'Delhi SummerApr-Sep'!G81</f>
        <v>2172</v>
      </c>
      <c r="H23" s="368">
        <f>+'Delhi SummerApr-Sep'!H81</f>
        <v>1918</v>
      </c>
      <c r="I23" s="368">
        <f>+'Delhi SummerApr-Sep'!I81</f>
        <v>2148</v>
      </c>
      <c r="J23" s="368">
        <f>+'Delhi SummerApr-Sep'!J81</f>
        <v>2172</v>
      </c>
      <c r="K23" s="368">
        <f>+'Delhi SummerApr-Sep'!K81</f>
        <v>1918</v>
      </c>
      <c r="L23" s="368">
        <f>+'Delhi SummerApr-Sep'!L81</f>
        <v>2148</v>
      </c>
      <c r="M23" s="368">
        <f>+'Delhi SummerApr-Sep'!M81</f>
        <v>2172</v>
      </c>
      <c r="N23" s="368">
        <f>+'Delhi SummerApr-Sep'!N81</f>
        <v>1918</v>
      </c>
    </row>
    <row r="24" spans="1:14" ht="14.25" customHeight="1" thickBot="1">
      <c r="A24" s="390" t="s">
        <v>31</v>
      </c>
      <c r="B24" s="391" t="s">
        <v>86</v>
      </c>
      <c r="C24" s="368">
        <f>+'Delhi SummerApr-Sep'!C98</f>
        <v>629.2</v>
      </c>
      <c r="D24" s="368">
        <f>+'Delhi SummerApr-Sep'!D98</f>
        <v>629.2</v>
      </c>
      <c r="E24" s="368">
        <f>+'Delhi SummerApr-Sep'!E98</f>
        <v>533.2</v>
      </c>
      <c r="F24" s="368">
        <f>+'Delhi SummerApr-Sep'!F98</f>
        <v>591.2</v>
      </c>
      <c r="G24" s="368">
        <f>+'Delhi SummerApr-Sep'!G98</f>
        <v>591.2</v>
      </c>
      <c r="H24" s="368">
        <f>+'Delhi SummerApr-Sep'!H98</f>
        <v>495.20000000000005</v>
      </c>
      <c r="I24" s="368">
        <f>+'Delhi SummerApr-Sep'!I98</f>
        <v>1032.44</v>
      </c>
      <c r="J24" s="368">
        <f>+'Delhi SummerApr-Sep'!J98</f>
        <v>1032.44</v>
      </c>
      <c r="K24" s="368">
        <f>+'Delhi SummerApr-Sep'!K98</f>
        <v>1032.44</v>
      </c>
      <c r="L24" s="368">
        <f>+'Delhi SummerApr-Sep'!L98</f>
        <v>1032.44</v>
      </c>
      <c r="M24" s="368">
        <f>+'Delhi SummerApr-Sep'!M98</f>
        <v>1032.44</v>
      </c>
      <c r="N24" s="368">
        <f>+'Delhi SummerApr-Sep'!N98</f>
        <v>1032.44</v>
      </c>
    </row>
    <row r="25" spans="1:14" ht="15.75" thickBot="1">
      <c r="A25" s="390" t="s">
        <v>33</v>
      </c>
      <c r="B25" s="387" t="s">
        <v>32</v>
      </c>
      <c r="C25" s="392">
        <f>SUM(C22:C24)</f>
        <v>3823.8999999999996</v>
      </c>
      <c r="D25" s="392">
        <f aca="true" t="shared" si="3" ref="D25:N25">SUM(D22:D24)</f>
        <v>3847.8999999999996</v>
      </c>
      <c r="E25" s="392">
        <f t="shared" si="3"/>
        <v>3497.8999999999996</v>
      </c>
      <c r="F25" s="392">
        <f t="shared" si="3"/>
        <v>3920.8999999999996</v>
      </c>
      <c r="G25" s="392">
        <f t="shared" si="3"/>
        <v>3944.8999999999996</v>
      </c>
      <c r="H25" s="392">
        <f t="shared" si="3"/>
        <v>3594.8999999999996</v>
      </c>
      <c r="I25" s="392">
        <f t="shared" si="3"/>
        <v>4404.4400000000005</v>
      </c>
      <c r="J25" s="392">
        <f t="shared" si="3"/>
        <v>4428.4400000000005</v>
      </c>
      <c r="K25" s="392">
        <f t="shared" si="3"/>
        <v>4174.4400000000005</v>
      </c>
      <c r="L25" s="392">
        <f t="shared" si="3"/>
        <v>4404.4400000000005</v>
      </c>
      <c r="M25" s="392">
        <f t="shared" si="3"/>
        <v>4428.4400000000005</v>
      </c>
      <c r="N25" s="392">
        <f t="shared" si="3"/>
        <v>4174.4400000000005</v>
      </c>
    </row>
    <row r="26" spans="1:14" ht="14.25" customHeight="1" thickBot="1">
      <c r="A26" s="390" t="s">
        <v>187</v>
      </c>
      <c r="B26" s="386" t="s">
        <v>188</v>
      </c>
      <c r="C26" s="392">
        <f aca="true" t="shared" si="4" ref="C26:N26">+C25-C20</f>
        <v>23.899999999999636</v>
      </c>
      <c r="D26" s="392">
        <f t="shared" si="4"/>
        <v>47.899999999999636</v>
      </c>
      <c r="E26" s="392">
        <f t="shared" si="4"/>
        <v>97.89999999999964</v>
      </c>
      <c r="F26" s="393">
        <f t="shared" si="4"/>
        <v>-129.10000000000036</v>
      </c>
      <c r="G26" s="392">
        <f t="shared" si="4"/>
        <v>44.899999999999636</v>
      </c>
      <c r="H26" s="392">
        <f t="shared" si="4"/>
        <v>94.89999999999964</v>
      </c>
      <c r="I26" s="392">
        <f t="shared" si="4"/>
        <v>304.4400000000005</v>
      </c>
      <c r="J26" s="392">
        <f t="shared" si="4"/>
        <v>478.4400000000005</v>
      </c>
      <c r="K26" s="392">
        <f t="shared" si="4"/>
        <v>724.4400000000005</v>
      </c>
      <c r="L26" s="392">
        <f t="shared" si="4"/>
        <v>204.4400000000005</v>
      </c>
      <c r="M26" s="392">
        <f t="shared" si="4"/>
        <v>428.4400000000005</v>
      </c>
      <c r="N26" s="392">
        <f t="shared" si="4"/>
        <v>574.4400000000005</v>
      </c>
    </row>
    <row r="27" spans="1:14" ht="14.25" customHeight="1" thickBot="1">
      <c r="A27" s="394" t="s">
        <v>189</v>
      </c>
      <c r="B27" s="385" t="s">
        <v>190</v>
      </c>
      <c r="C27" s="393">
        <f>+C25-C21</f>
        <v>-226.10000000000036</v>
      </c>
      <c r="D27" s="393">
        <f aca="true" t="shared" si="5" ref="D27:N27">+D25-D21</f>
        <v>-202.10000000000036</v>
      </c>
      <c r="E27" s="393">
        <f t="shared" si="5"/>
        <v>-152.10000000000036</v>
      </c>
      <c r="F27" s="393">
        <f t="shared" si="5"/>
        <v>-429.10000000000036</v>
      </c>
      <c r="G27" s="393">
        <f t="shared" si="5"/>
        <v>-255.10000000000036</v>
      </c>
      <c r="H27" s="393">
        <f t="shared" si="5"/>
        <v>-155.10000000000036</v>
      </c>
      <c r="I27" s="392">
        <f t="shared" si="5"/>
        <v>4.440000000000509</v>
      </c>
      <c r="J27" s="392">
        <f t="shared" si="5"/>
        <v>178.4400000000005</v>
      </c>
      <c r="K27" s="392">
        <f t="shared" si="5"/>
        <v>474.4400000000005</v>
      </c>
      <c r="L27" s="393">
        <f t="shared" si="5"/>
        <v>-95.55999999999949</v>
      </c>
      <c r="M27" s="392">
        <f t="shared" si="5"/>
        <v>178.4400000000005</v>
      </c>
      <c r="N27" s="392">
        <f t="shared" si="5"/>
        <v>324.4400000000005</v>
      </c>
    </row>
    <row r="28" ht="15" customHeight="1" thickBot="1"/>
    <row r="29" spans="1:14" ht="16.5" customHeight="1" thickBot="1">
      <c r="A29" s="39"/>
      <c r="B29" s="40"/>
      <c r="C29" s="9"/>
      <c r="D29" s="9"/>
      <c r="E29" s="8" t="s">
        <v>75</v>
      </c>
      <c r="F29" s="9"/>
      <c r="G29" s="9"/>
      <c r="H29" s="10"/>
      <c r="I29" s="7"/>
      <c r="J29" s="9"/>
      <c r="K29" s="8" t="s">
        <v>76</v>
      </c>
      <c r="L29" s="9"/>
      <c r="M29" s="9"/>
      <c r="N29" s="10"/>
    </row>
    <row r="30" spans="1:14" ht="13.5" thickBot="1">
      <c r="A30" s="41" t="s">
        <v>36</v>
      </c>
      <c r="B30" s="42" t="s">
        <v>2</v>
      </c>
      <c r="C30" s="438" t="s">
        <v>3</v>
      </c>
      <c r="D30" s="439"/>
      <c r="E30" s="440"/>
      <c r="F30" s="441" t="s">
        <v>4</v>
      </c>
      <c r="G30" s="442"/>
      <c r="H30" s="443"/>
      <c r="I30" s="441" t="s">
        <v>3</v>
      </c>
      <c r="J30" s="444"/>
      <c r="K30" s="445"/>
      <c r="L30" s="446" t="s">
        <v>4</v>
      </c>
      <c r="M30" s="442"/>
      <c r="N30" s="443"/>
    </row>
    <row r="31" spans="1:14" ht="13.5" thickBot="1">
      <c r="A31" s="43"/>
      <c r="B31" s="11"/>
      <c r="C31" s="12" t="s">
        <v>77</v>
      </c>
      <c r="D31" s="13" t="s">
        <v>78</v>
      </c>
      <c r="E31" s="13" t="s">
        <v>79</v>
      </c>
      <c r="F31" s="12" t="s">
        <v>77</v>
      </c>
      <c r="G31" s="13" t="s">
        <v>78</v>
      </c>
      <c r="H31" s="13" t="s">
        <v>79</v>
      </c>
      <c r="I31" s="12" t="s">
        <v>77</v>
      </c>
      <c r="J31" s="13" t="s">
        <v>78</v>
      </c>
      <c r="K31" s="13" t="s">
        <v>79</v>
      </c>
      <c r="L31" s="12" t="s">
        <v>77</v>
      </c>
      <c r="M31" s="13" t="s">
        <v>78</v>
      </c>
      <c r="N31" s="13" t="s">
        <v>79</v>
      </c>
    </row>
    <row r="32" spans="1:14" s="380" customFormat="1" ht="29.25" customHeight="1" thickBot="1">
      <c r="A32" s="376" t="s">
        <v>25</v>
      </c>
      <c r="B32" s="377" t="s">
        <v>70</v>
      </c>
      <c r="C32" s="378">
        <v>3900</v>
      </c>
      <c r="D32" s="379">
        <v>3700</v>
      </c>
      <c r="E32" s="379">
        <v>3450</v>
      </c>
      <c r="F32" s="378">
        <v>3950</v>
      </c>
      <c r="G32" s="379">
        <v>4050</v>
      </c>
      <c r="H32" s="379">
        <v>3500</v>
      </c>
      <c r="I32" s="378">
        <v>4050</v>
      </c>
      <c r="J32" s="379">
        <v>4100</v>
      </c>
      <c r="K32" s="379">
        <v>3500</v>
      </c>
      <c r="L32" s="378">
        <v>3750</v>
      </c>
      <c r="M32" s="379">
        <v>3700</v>
      </c>
      <c r="N32" s="379">
        <v>3300</v>
      </c>
    </row>
    <row r="33" spans="1:14" s="384" customFormat="1" ht="29.25" customHeight="1" thickBot="1">
      <c r="A33" s="381" t="s">
        <v>26</v>
      </c>
      <c r="B33" s="382" t="s">
        <v>186</v>
      </c>
      <c r="C33" s="383">
        <f>+'Delhi SummerApr-Sep'!C123</f>
        <v>4150</v>
      </c>
      <c r="D33" s="383">
        <f>+'Delhi SummerApr-Sep'!D123</f>
        <v>4000</v>
      </c>
      <c r="E33" s="383">
        <f>+'Delhi SummerApr-Sep'!E123</f>
        <v>3700</v>
      </c>
      <c r="F33" s="383">
        <f>+'Delhi SummerApr-Sep'!F123</f>
        <v>4200</v>
      </c>
      <c r="G33" s="383">
        <f>+'Delhi SummerApr-Sep'!G123</f>
        <v>4350</v>
      </c>
      <c r="H33" s="383">
        <f>+'Delhi SummerApr-Sep'!H123</f>
        <v>3700</v>
      </c>
      <c r="I33" s="383">
        <f>+'Delhi SummerApr-Sep'!I123</f>
        <v>4350</v>
      </c>
      <c r="J33" s="383">
        <f>+'Delhi SummerApr-Sep'!J123</f>
        <v>4400</v>
      </c>
      <c r="K33" s="383">
        <f>+'Delhi SummerApr-Sep'!K123</f>
        <v>3750</v>
      </c>
      <c r="L33" s="383">
        <f>+'Delhi SummerApr-Sep'!L123</f>
        <v>4000</v>
      </c>
      <c r="M33" s="383">
        <f>+'Delhi SummerApr-Sep'!M123</f>
        <v>4000</v>
      </c>
      <c r="N33" s="383">
        <f>+'Delhi SummerApr-Sep'!N123</f>
        <v>3500</v>
      </c>
    </row>
    <row r="34" spans="1:14" ht="15" thickBot="1">
      <c r="A34" s="388" t="s">
        <v>27</v>
      </c>
      <c r="B34" s="389" t="s">
        <v>13</v>
      </c>
      <c r="C34" s="369">
        <f>+'Delhi SummerApr-Sep'!C131</f>
        <v>1058</v>
      </c>
      <c r="D34" s="369">
        <f>+'Delhi SummerApr-Sep'!D131</f>
        <v>1058</v>
      </c>
      <c r="E34" s="369">
        <f>+'Delhi SummerApr-Sep'!E131</f>
        <v>1058</v>
      </c>
      <c r="F34" s="369">
        <f>+'Delhi SummerApr-Sep'!F131</f>
        <v>1058</v>
      </c>
      <c r="G34" s="369">
        <f>+'Delhi SummerApr-Sep'!G131</f>
        <v>1058</v>
      </c>
      <c r="H34" s="369">
        <f>+'Delhi SummerApr-Sep'!H131</f>
        <v>1058</v>
      </c>
      <c r="I34" s="369">
        <f>+'Delhi SummerApr-Sep'!I131</f>
        <v>1058</v>
      </c>
      <c r="J34" s="369">
        <f>+'Delhi SummerApr-Sep'!J131</f>
        <v>1058</v>
      </c>
      <c r="K34" s="369">
        <f>+'Delhi SummerApr-Sep'!K131</f>
        <v>1058</v>
      </c>
      <c r="L34" s="369">
        <f>+'Delhi SummerApr-Sep'!L131</f>
        <v>1058</v>
      </c>
      <c r="M34" s="369">
        <f>+'Delhi SummerApr-Sep'!M131</f>
        <v>1058</v>
      </c>
      <c r="N34" s="369">
        <f>+'Delhi SummerApr-Sep'!N131</f>
        <v>1058</v>
      </c>
    </row>
    <row r="35" spans="1:14" ht="15" thickBot="1">
      <c r="A35" s="390" t="s">
        <v>30</v>
      </c>
      <c r="B35" s="387" t="s">
        <v>20</v>
      </c>
      <c r="C35" s="368">
        <f>+'Delhi SummerApr-Sep'!C135</f>
        <v>2148</v>
      </c>
      <c r="D35" s="368">
        <f>+'Delhi SummerApr-Sep'!D135</f>
        <v>2172</v>
      </c>
      <c r="E35" s="368">
        <f>+'Delhi SummerApr-Sep'!E135</f>
        <v>1918</v>
      </c>
      <c r="F35" s="368">
        <f>+'Delhi SummerApr-Sep'!F135</f>
        <v>2148</v>
      </c>
      <c r="G35" s="368">
        <f>+'Delhi SummerApr-Sep'!G135</f>
        <v>2172</v>
      </c>
      <c r="H35" s="368">
        <f>+'Delhi SummerApr-Sep'!H135</f>
        <v>1918</v>
      </c>
      <c r="I35" s="368">
        <f>+'Delhi SummerApr-Sep'!I135</f>
        <v>2148</v>
      </c>
      <c r="J35" s="368">
        <f>+'Delhi SummerApr-Sep'!J135</f>
        <v>2172</v>
      </c>
      <c r="K35" s="368">
        <f>+'Delhi SummerApr-Sep'!K135</f>
        <v>1918</v>
      </c>
      <c r="L35" s="368">
        <f>+'Delhi SummerApr-Sep'!L135</f>
        <v>1980</v>
      </c>
      <c r="M35" s="368">
        <f>+'Delhi SummerApr-Sep'!M135</f>
        <v>2004</v>
      </c>
      <c r="N35" s="368">
        <f>+'Delhi SummerApr-Sep'!N135</f>
        <v>1750</v>
      </c>
    </row>
    <row r="36" spans="1:14" ht="15" thickBot="1">
      <c r="A36" s="390" t="s">
        <v>31</v>
      </c>
      <c r="B36" s="391" t="s">
        <v>22</v>
      </c>
      <c r="C36" s="368">
        <f>+'Delhi SummerApr-Sep'!C149</f>
        <v>983.6000000000001</v>
      </c>
      <c r="D36" s="368">
        <f>+'Delhi SummerApr-Sep'!D149</f>
        <v>983.6000000000001</v>
      </c>
      <c r="E36" s="368">
        <f>+'Delhi SummerApr-Sep'!E149</f>
        <v>983.6000000000001</v>
      </c>
      <c r="F36" s="368">
        <f>+'Delhi SummerApr-Sep'!F149</f>
        <v>983.6000000000001</v>
      </c>
      <c r="G36" s="368">
        <f>+'Delhi SummerApr-Sep'!G149</f>
        <v>983.6000000000001</v>
      </c>
      <c r="H36" s="368">
        <f>+'Delhi SummerApr-Sep'!H149</f>
        <v>983.6000000000001</v>
      </c>
      <c r="I36" s="368">
        <f>+'Delhi SummerApr-Sep'!I149</f>
        <v>837.0400000000001</v>
      </c>
      <c r="J36" s="368">
        <f>+'Delhi SummerApr-Sep'!J149</f>
        <v>837.0400000000001</v>
      </c>
      <c r="K36" s="368">
        <f>+'Delhi SummerApr-Sep'!K149</f>
        <v>837.0400000000001</v>
      </c>
      <c r="L36" s="368">
        <f>+'Delhi SummerApr-Sep'!L149</f>
        <v>837.0400000000001</v>
      </c>
      <c r="M36" s="368">
        <f>+'Delhi SummerApr-Sep'!M149</f>
        <v>837.0400000000001</v>
      </c>
      <c r="N36" s="368">
        <f>+'Delhi SummerApr-Sep'!N149</f>
        <v>837.0400000000001</v>
      </c>
    </row>
    <row r="37" spans="1:14" ht="15.75" thickBot="1">
      <c r="A37" s="390" t="s">
        <v>33</v>
      </c>
      <c r="B37" s="387" t="s">
        <v>32</v>
      </c>
      <c r="C37" s="392">
        <f>SUM(C34:C36)</f>
        <v>4189.6</v>
      </c>
      <c r="D37" s="392">
        <f aca="true" t="shared" si="6" ref="D37:N37">SUM(D34:D36)</f>
        <v>4213.6</v>
      </c>
      <c r="E37" s="392">
        <f t="shared" si="6"/>
        <v>3959.6000000000004</v>
      </c>
      <c r="F37" s="392">
        <f t="shared" si="6"/>
        <v>4189.6</v>
      </c>
      <c r="G37" s="392">
        <f t="shared" si="6"/>
        <v>4213.6</v>
      </c>
      <c r="H37" s="392">
        <f t="shared" si="6"/>
        <v>3959.6000000000004</v>
      </c>
      <c r="I37" s="392">
        <f t="shared" si="6"/>
        <v>4043.04</v>
      </c>
      <c r="J37" s="392">
        <f t="shared" si="6"/>
        <v>4067.04</v>
      </c>
      <c r="K37" s="392">
        <f t="shared" si="6"/>
        <v>3813.04</v>
      </c>
      <c r="L37" s="392">
        <f t="shared" si="6"/>
        <v>3875.04</v>
      </c>
      <c r="M37" s="392">
        <f t="shared" si="6"/>
        <v>3899.04</v>
      </c>
      <c r="N37" s="392">
        <f t="shared" si="6"/>
        <v>3645.04</v>
      </c>
    </row>
    <row r="38" spans="1:14" ht="14.25" customHeight="1" thickBot="1">
      <c r="A38" s="390" t="s">
        <v>187</v>
      </c>
      <c r="B38" s="386" t="s">
        <v>188</v>
      </c>
      <c r="C38" s="392">
        <f aca="true" t="shared" si="7" ref="C38:N38">+C37-C32</f>
        <v>289.60000000000036</v>
      </c>
      <c r="D38" s="392">
        <f t="shared" si="7"/>
        <v>513.6000000000004</v>
      </c>
      <c r="E38" s="392">
        <f t="shared" si="7"/>
        <v>509.60000000000036</v>
      </c>
      <c r="F38" s="392">
        <f t="shared" si="7"/>
        <v>239.60000000000036</v>
      </c>
      <c r="G38" s="392">
        <f t="shared" si="7"/>
        <v>163.60000000000036</v>
      </c>
      <c r="H38" s="392">
        <f t="shared" si="7"/>
        <v>459.60000000000036</v>
      </c>
      <c r="I38" s="392">
        <f t="shared" si="7"/>
        <v>-6.960000000000036</v>
      </c>
      <c r="J38" s="392">
        <f t="shared" si="7"/>
        <v>-32.960000000000036</v>
      </c>
      <c r="K38" s="392">
        <f t="shared" si="7"/>
        <v>313.03999999999996</v>
      </c>
      <c r="L38" s="392">
        <f t="shared" si="7"/>
        <v>125.03999999999996</v>
      </c>
      <c r="M38" s="392">
        <f t="shared" si="7"/>
        <v>199.03999999999996</v>
      </c>
      <c r="N38" s="392">
        <f t="shared" si="7"/>
        <v>345.03999999999996</v>
      </c>
    </row>
    <row r="39" spans="1:14" ht="14.25" customHeight="1" thickBot="1">
      <c r="A39" s="394" t="s">
        <v>189</v>
      </c>
      <c r="B39" s="385" t="s">
        <v>190</v>
      </c>
      <c r="C39" s="392">
        <f>+C37-C33</f>
        <v>39.600000000000364</v>
      </c>
      <c r="D39" s="392">
        <f aca="true" t="shared" si="8" ref="D39:N39">+D37-D33</f>
        <v>213.60000000000036</v>
      </c>
      <c r="E39" s="392">
        <f t="shared" si="8"/>
        <v>259.60000000000036</v>
      </c>
      <c r="F39" s="392">
        <f t="shared" si="8"/>
        <v>-10.399999999999636</v>
      </c>
      <c r="G39" s="393">
        <f t="shared" si="8"/>
        <v>-136.39999999999964</v>
      </c>
      <c r="H39" s="392">
        <f t="shared" si="8"/>
        <v>259.60000000000036</v>
      </c>
      <c r="I39" s="393">
        <f t="shared" si="8"/>
        <v>-306.96000000000004</v>
      </c>
      <c r="J39" s="393">
        <f t="shared" si="8"/>
        <v>-332.96000000000004</v>
      </c>
      <c r="K39" s="392">
        <f t="shared" si="8"/>
        <v>63.039999999999964</v>
      </c>
      <c r="L39" s="393">
        <f t="shared" si="8"/>
        <v>-124.96000000000004</v>
      </c>
      <c r="M39" s="393">
        <f t="shared" si="8"/>
        <v>-100.96000000000004</v>
      </c>
      <c r="N39" s="392">
        <f t="shared" si="8"/>
        <v>145.03999999999996</v>
      </c>
    </row>
    <row r="40" spans="1:13" s="17" customFormat="1" ht="14.25" customHeight="1">
      <c r="A40" s="213">
        <v>1</v>
      </c>
      <c r="B40" s="17" t="s">
        <v>204</v>
      </c>
      <c r="J40" s="212"/>
      <c r="K40" s="188"/>
      <c r="L40" s="212"/>
      <c r="M40" s="212"/>
    </row>
    <row r="41" spans="1:14" ht="12.75">
      <c r="A41" s="1">
        <v>2</v>
      </c>
      <c r="B41" s="60" t="s">
        <v>89</v>
      </c>
      <c r="J41" s="94"/>
      <c r="K41" s="1"/>
      <c r="L41" s="94"/>
      <c r="M41" s="94"/>
      <c r="N41" s="1"/>
    </row>
    <row r="42" spans="1:2" ht="12.75">
      <c r="A42">
        <v>3</v>
      </c>
      <c r="B42" s="129" t="s">
        <v>200</v>
      </c>
    </row>
    <row r="43" spans="1:2" ht="12.75">
      <c r="A43" s="1">
        <v>4</v>
      </c>
      <c r="B43" s="129" t="s">
        <v>201</v>
      </c>
    </row>
    <row r="44" spans="1:2" ht="12.75">
      <c r="A44" s="105">
        <v>5</v>
      </c>
      <c r="B44" s="129" t="s">
        <v>203</v>
      </c>
    </row>
    <row r="45" spans="1:14" ht="12.75">
      <c r="A45" s="213">
        <v>6</v>
      </c>
      <c r="B45" s="60" t="s">
        <v>207</v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14" ht="12.75">
      <c r="A46" s="1">
        <v>7</v>
      </c>
      <c r="B46" s="60" t="s">
        <v>208</v>
      </c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14" ht="12.75">
      <c r="A47">
        <v>8</v>
      </c>
      <c r="B47" s="37" t="s">
        <v>209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</row>
    <row r="48" spans="1:2" ht="12.75">
      <c r="A48" s="1">
        <v>9</v>
      </c>
      <c r="B48" s="37" t="s">
        <v>210</v>
      </c>
    </row>
  </sheetData>
  <mergeCells count="12">
    <mergeCell ref="L18:N18"/>
    <mergeCell ref="L5:N5"/>
    <mergeCell ref="C18:E18"/>
    <mergeCell ref="C5:E5"/>
    <mergeCell ref="F5:H5"/>
    <mergeCell ref="I5:K5"/>
    <mergeCell ref="I18:K18"/>
    <mergeCell ref="F18:H18"/>
    <mergeCell ref="C30:E30"/>
    <mergeCell ref="F30:H30"/>
    <mergeCell ref="I30:K30"/>
    <mergeCell ref="L30:N30"/>
  </mergeCells>
  <printOptions horizontalCentered="1"/>
  <pageMargins left="0.25" right="0" top="0" bottom="0.15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workbookViewId="0" topLeftCell="A135">
      <selection activeCell="B170" sqref="B170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9.57421875" style="0" customWidth="1"/>
    <col min="4" max="4" width="9.7109375" style="0" customWidth="1"/>
    <col min="5" max="5" width="9.421875" style="0" customWidth="1"/>
    <col min="6" max="6" width="10.7109375" style="0" customWidth="1"/>
    <col min="7" max="7" width="10.28125" style="0" customWidth="1"/>
    <col min="8" max="8" width="11.28125" style="0" customWidth="1"/>
    <col min="9" max="9" width="10.00390625" style="0" customWidth="1"/>
    <col min="10" max="12" width="9.57421875" style="0" customWidth="1"/>
    <col min="13" max="13" width="9.8515625" style="0" customWidth="1"/>
    <col min="14" max="14" width="9.421875" style="0" customWidth="1"/>
  </cols>
  <sheetData>
    <row r="1" spans="3:14" ht="15.75" customHeight="1">
      <c r="C1" s="2" t="s">
        <v>0</v>
      </c>
      <c r="G1" s="1"/>
      <c r="H1" s="1"/>
      <c r="I1" s="1"/>
      <c r="J1" s="1"/>
      <c r="K1" s="1"/>
      <c r="L1" s="1"/>
      <c r="M1" s="1"/>
      <c r="N1" s="1"/>
    </row>
    <row r="2" spans="2:14" ht="17.25" customHeight="1">
      <c r="B2" s="5" t="s">
        <v>195</v>
      </c>
      <c r="D2" s="1"/>
      <c r="E2" s="1"/>
      <c r="F2" s="3"/>
      <c r="G2" s="1"/>
      <c r="H2" s="1"/>
      <c r="I2" s="1"/>
      <c r="L2" s="1"/>
      <c r="M2" s="1"/>
      <c r="N2" s="1"/>
    </row>
    <row r="3" spans="2:13" ht="19.5" customHeight="1" thickBot="1">
      <c r="B3" s="38" t="s">
        <v>1</v>
      </c>
      <c r="C3" s="6"/>
      <c r="D3" s="1"/>
      <c r="E3" s="1"/>
      <c r="F3" s="6"/>
      <c r="G3" s="1"/>
      <c r="H3" s="1"/>
      <c r="J3" s="1"/>
      <c r="K3" s="1"/>
      <c r="M3" s="430" t="s">
        <v>211</v>
      </c>
    </row>
    <row r="4" spans="1:14" ht="16.5" thickBot="1">
      <c r="A4" s="39"/>
      <c r="B4" s="63"/>
      <c r="C4" s="7"/>
      <c r="D4" s="9"/>
      <c r="E4" s="8" t="s">
        <v>73</v>
      </c>
      <c r="F4" s="9"/>
      <c r="G4" s="9"/>
      <c r="H4" s="10"/>
      <c r="I4" s="7"/>
      <c r="J4" s="9"/>
      <c r="K4" s="8" t="s">
        <v>74</v>
      </c>
      <c r="L4" s="9"/>
      <c r="M4" s="9"/>
      <c r="N4" s="10"/>
    </row>
    <row r="5" spans="1:14" ht="13.5" thickBot="1">
      <c r="A5" s="41" t="s">
        <v>23</v>
      </c>
      <c r="B5" s="64" t="s">
        <v>2</v>
      </c>
      <c r="C5" s="447" t="s">
        <v>3</v>
      </c>
      <c r="D5" s="439"/>
      <c r="E5" s="440"/>
      <c r="F5" s="441" t="s">
        <v>4</v>
      </c>
      <c r="G5" s="442"/>
      <c r="H5" s="443"/>
      <c r="I5" s="441" t="s">
        <v>3</v>
      </c>
      <c r="J5" s="444"/>
      <c r="K5" s="445"/>
      <c r="L5" s="446" t="s">
        <v>4</v>
      </c>
      <c r="M5" s="442"/>
      <c r="N5" s="443"/>
    </row>
    <row r="6" spans="1:14" ht="13.5" thickBot="1">
      <c r="A6" s="43" t="s">
        <v>24</v>
      </c>
      <c r="B6" s="14"/>
      <c r="C6" s="12" t="s">
        <v>77</v>
      </c>
      <c r="D6" s="13" t="s">
        <v>78</v>
      </c>
      <c r="E6" s="13" t="s">
        <v>79</v>
      </c>
      <c r="F6" s="12" t="s">
        <v>77</v>
      </c>
      <c r="G6" s="13" t="s">
        <v>78</v>
      </c>
      <c r="H6" s="13" t="s">
        <v>79</v>
      </c>
      <c r="I6" s="12" t="s">
        <v>77</v>
      </c>
      <c r="J6" s="13" t="s">
        <v>78</v>
      </c>
      <c r="K6" s="13" t="s">
        <v>79</v>
      </c>
      <c r="L6" s="12" t="s">
        <v>77</v>
      </c>
      <c r="M6" s="13" t="s">
        <v>78</v>
      </c>
      <c r="N6" s="13" t="s">
        <v>79</v>
      </c>
    </row>
    <row r="7" spans="1:14" ht="15" customHeight="1" thickBot="1">
      <c r="A7" s="41"/>
      <c r="B7" s="87"/>
      <c r="C7" s="12" t="s">
        <v>80</v>
      </c>
      <c r="D7" s="13" t="s">
        <v>81</v>
      </c>
      <c r="E7" s="13" t="s">
        <v>82</v>
      </c>
      <c r="F7" s="12" t="s">
        <v>80</v>
      </c>
      <c r="G7" s="13" t="s">
        <v>81</v>
      </c>
      <c r="H7" s="13" t="s">
        <v>82</v>
      </c>
      <c r="I7" s="12" t="s">
        <v>80</v>
      </c>
      <c r="J7" s="13" t="s">
        <v>81</v>
      </c>
      <c r="K7" s="13" t="s">
        <v>82</v>
      </c>
      <c r="L7" s="12" t="s">
        <v>80</v>
      </c>
      <c r="M7" s="13" t="s">
        <v>81</v>
      </c>
      <c r="N7" s="13" t="s">
        <v>82</v>
      </c>
    </row>
    <row r="8" spans="1:14" ht="15" customHeight="1">
      <c r="A8" s="41"/>
      <c r="B8" s="15" t="s">
        <v>5</v>
      </c>
      <c r="C8" s="16">
        <v>2283</v>
      </c>
      <c r="D8" s="16">
        <v>2426</v>
      </c>
      <c r="E8" s="88"/>
      <c r="F8" s="16">
        <v>2629</v>
      </c>
      <c r="G8" s="16">
        <v>2719</v>
      </c>
      <c r="H8" s="88"/>
      <c r="I8" s="16">
        <v>2600</v>
      </c>
      <c r="J8" s="16">
        <v>2689</v>
      </c>
      <c r="K8" s="88"/>
      <c r="L8" s="16">
        <v>2680</v>
      </c>
      <c r="M8" s="16">
        <v>2780</v>
      </c>
      <c r="N8" s="88"/>
    </row>
    <row r="9" spans="1:14" ht="15" customHeight="1">
      <c r="A9" s="41"/>
      <c r="B9" s="15" t="s">
        <v>6</v>
      </c>
      <c r="C9" s="16">
        <v>2248</v>
      </c>
      <c r="D9" s="16">
        <v>2498</v>
      </c>
      <c r="E9" s="89"/>
      <c r="F9" s="16">
        <v>2480</v>
      </c>
      <c r="G9" s="16">
        <v>2651</v>
      </c>
      <c r="H9" s="89"/>
      <c r="I9" s="16">
        <v>2837</v>
      </c>
      <c r="J9" s="16">
        <v>2815</v>
      </c>
      <c r="K9" s="89"/>
      <c r="L9" s="16">
        <v>2837</v>
      </c>
      <c r="M9" s="16">
        <v>2900</v>
      </c>
      <c r="N9" s="89"/>
    </row>
    <row r="10" spans="1:14" ht="15" customHeight="1">
      <c r="A10" s="41"/>
      <c r="B10" s="15" t="s">
        <v>7</v>
      </c>
      <c r="C10" s="16">
        <v>2518</v>
      </c>
      <c r="D10" s="16">
        <v>2737</v>
      </c>
      <c r="E10" s="89"/>
      <c r="F10" s="16">
        <v>2732</v>
      </c>
      <c r="G10" s="16">
        <v>2917</v>
      </c>
      <c r="H10" s="89"/>
      <c r="I10" s="16">
        <v>3115</v>
      </c>
      <c r="J10" s="16">
        <v>3113</v>
      </c>
      <c r="K10" s="89"/>
      <c r="L10" s="16">
        <v>3295</v>
      </c>
      <c r="M10" s="16">
        <v>3194</v>
      </c>
      <c r="N10" s="89"/>
    </row>
    <row r="11" spans="1:14" ht="15" customHeight="1">
      <c r="A11" s="41"/>
      <c r="B11" s="15" t="s">
        <v>8</v>
      </c>
      <c r="C11" s="16">
        <v>2321</v>
      </c>
      <c r="D11" s="16">
        <v>2702</v>
      </c>
      <c r="E11" s="89"/>
      <c r="F11" s="16">
        <v>2644</v>
      </c>
      <c r="G11" s="16">
        <v>2971</v>
      </c>
      <c r="H11" s="89"/>
      <c r="I11" s="16">
        <v>2686</v>
      </c>
      <c r="J11" s="16">
        <v>2979</v>
      </c>
      <c r="K11" s="89"/>
      <c r="L11" s="16">
        <v>2858</v>
      </c>
      <c r="M11" s="16">
        <v>3117</v>
      </c>
      <c r="N11" s="89"/>
    </row>
    <row r="12" spans="1:14" ht="15" customHeight="1">
      <c r="A12" s="41"/>
      <c r="B12" s="15" t="s">
        <v>9</v>
      </c>
      <c r="C12" s="16">
        <v>2864</v>
      </c>
      <c r="D12" s="16">
        <v>3106</v>
      </c>
      <c r="E12" s="89"/>
      <c r="F12" s="16">
        <v>3063</v>
      </c>
      <c r="G12" s="16">
        <v>3158</v>
      </c>
      <c r="H12" s="89"/>
      <c r="I12" s="16">
        <v>3194</v>
      </c>
      <c r="J12" s="16">
        <v>3291</v>
      </c>
      <c r="K12" s="89"/>
      <c r="L12" s="16">
        <v>3413</v>
      </c>
      <c r="M12" s="16">
        <v>3348</v>
      </c>
      <c r="N12" s="89"/>
    </row>
    <row r="13" spans="1:14" ht="15" customHeight="1">
      <c r="A13" s="41"/>
      <c r="B13" s="15" t="s">
        <v>10</v>
      </c>
      <c r="C13" s="16">
        <v>2667</v>
      </c>
      <c r="D13" s="16">
        <v>2921</v>
      </c>
      <c r="E13" s="89"/>
      <c r="F13" s="16">
        <v>2840</v>
      </c>
      <c r="G13" s="16">
        <v>3047</v>
      </c>
      <c r="H13" s="89"/>
      <c r="I13" s="16">
        <v>2972</v>
      </c>
      <c r="J13" s="16">
        <v>3148</v>
      </c>
      <c r="K13" s="89"/>
      <c r="L13" s="16">
        <v>3269</v>
      </c>
      <c r="M13" s="16">
        <v>3248</v>
      </c>
      <c r="N13" s="89"/>
    </row>
    <row r="14" spans="1:14" ht="15" customHeight="1">
      <c r="A14" s="41"/>
      <c r="B14" s="15" t="s">
        <v>11</v>
      </c>
      <c r="C14" s="19">
        <v>2891</v>
      </c>
      <c r="D14" s="19">
        <v>3244</v>
      </c>
      <c r="E14" s="89"/>
      <c r="F14" s="19">
        <v>3446</v>
      </c>
      <c r="G14" s="19">
        <v>3515</v>
      </c>
      <c r="H14" s="89"/>
      <c r="I14" s="19">
        <v>3632</v>
      </c>
      <c r="J14" s="19">
        <v>3592</v>
      </c>
      <c r="K14" s="89"/>
      <c r="L14" s="19">
        <v>3769</v>
      </c>
      <c r="M14" s="19">
        <v>3843</v>
      </c>
      <c r="N14" s="89"/>
    </row>
    <row r="15" spans="1:14" ht="15" customHeight="1" thickBot="1">
      <c r="A15" s="41"/>
      <c r="B15" s="20" t="s">
        <v>12</v>
      </c>
      <c r="C15" s="21">
        <v>2891</v>
      </c>
      <c r="D15" s="21">
        <v>3182</v>
      </c>
      <c r="E15" s="90"/>
      <c r="F15" s="21">
        <v>3437</v>
      </c>
      <c r="G15" s="21">
        <v>3414</v>
      </c>
      <c r="H15" s="90"/>
      <c r="I15" s="21">
        <v>3484</v>
      </c>
      <c r="J15" s="21">
        <v>3625</v>
      </c>
      <c r="K15" s="90"/>
      <c r="L15" s="21">
        <v>3840</v>
      </c>
      <c r="M15" s="21">
        <v>3551</v>
      </c>
      <c r="N15" s="90"/>
    </row>
    <row r="16" spans="1:14" ht="15" customHeight="1" thickBot="1">
      <c r="A16" s="43"/>
      <c r="B16" s="20" t="s">
        <v>69</v>
      </c>
      <c r="C16" s="21">
        <v>2962</v>
      </c>
      <c r="D16" s="21">
        <v>3151</v>
      </c>
      <c r="E16" s="21">
        <v>2757</v>
      </c>
      <c r="F16" s="21">
        <v>3509</v>
      </c>
      <c r="G16" s="21">
        <v>3466</v>
      </c>
      <c r="H16" s="21">
        <v>3090</v>
      </c>
      <c r="I16" s="21">
        <v>3487</v>
      </c>
      <c r="J16" s="21">
        <v>3477</v>
      </c>
      <c r="K16" s="21">
        <v>3048</v>
      </c>
      <c r="L16" s="21">
        <v>3562</v>
      </c>
      <c r="M16" s="21">
        <v>3433</v>
      </c>
      <c r="N16" s="21">
        <v>3120</v>
      </c>
    </row>
    <row r="17" spans="1:14" ht="27" customHeight="1" thickBot="1">
      <c r="A17" s="45"/>
      <c r="B17" s="22" t="s">
        <v>186</v>
      </c>
      <c r="C17" s="46">
        <v>3254</v>
      </c>
      <c r="D17" s="46">
        <v>3403</v>
      </c>
      <c r="E17" s="46">
        <f>+(((((C17-C16)/C16)+(D17-D16)/D16)/2)+1)*E16</f>
        <v>3003.140342572618</v>
      </c>
      <c r="F17" s="46">
        <v>3909</v>
      </c>
      <c r="G17" s="46">
        <v>3792</v>
      </c>
      <c r="H17" s="46">
        <f>+(((((F17-F16)/F16)+(G17-G16)/G16)/2)+1)*H16</f>
        <v>3411.4359210188554</v>
      </c>
      <c r="I17" s="46">
        <v>3814</v>
      </c>
      <c r="J17" s="46">
        <v>3752</v>
      </c>
      <c r="K17" s="46">
        <f>+(((((I17-I16)/I16)+(J17-J16)/J16)/2)+1)*K16</f>
        <v>3311.4509175334592</v>
      </c>
      <c r="L17" s="46">
        <v>3821</v>
      </c>
      <c r="M17" s="46">
        <v>3647</v>
      </c>
      <c r="N17" s="46">
        <f>+(((((L17-L16)/L16)+(M17-M16)/M16)/2)+1)*N16</f>
        <v>3330.6750495937877</v>
      </c>
    </row>
    <row r="18" spans="1:14" ht="15" customHeight="1" thickBot="1">
      <c r="A18" s="47" t="s">
        <v>25</v>
      </c>
      <c r="B18" s="104" t="s">
        <v>90</v>
      </c>
      <c r="C18" s="107">
        <v>3250</v>
      </c>
      <c r="D18" s="108">
        <v>3400</v>
      </c>
      <c r="E18" s="108">
        <v>3000</v>
      </c>
      <c r="F18" s="108">
        <v>3900</v>
      </c>
      <c r="G18" s="108">
        <v>3800</v>
      </c>
      <c r="H18" s="108">
        <v>3400</v>
      </c>
      <c r="I18" s="108">
        <v>3800</v>
      </c>
      <c r="J18" s="108">
        <v>3750</v>
      </c>
      <c r="K18" s="108">
        <v>3300</v>
      </c>
      <c r="L18" s="108">
        <v>3850</v>
      </c>
      <c r="M18" s="108">
        <v>3650</v>
      </c>
      <c r="N18" s="108">
        <v>3350</v>
      </c>
    </row>
    <row r="19" spans="1:14" ht="12.75">
      <c r="A19" s="47"/>
      <c r="B19" s="24" t="s">
        <v>13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.75">
      <c r="A20" s="47"/>
      <c r="B20" s="25" t="s">
        <v>14</v>
      </c>
      <c r="C20" s="50">
        <v>100</v>
      </c>
      <c r="D20" s="50">
        <v>100</v>
      </c>
      <c r="E20" s="50">
        <v>100</v>
      </c>
      <c r="F20" s="50">
        <v>100</v>
      </c>
      <c r="G20" s="50">
        <v>100</v>
      </c>
      <c r="H20" s="50">
        <v>100</v>
      </c>
      <c r="I20" s="50">
        <v>100</v>
      </c>
      <c r="J20" s="50">
        <v>100</v>
      </c>
      <c r="K20" s="50">
        <v>100</v>
      </c>
      <c r="L20" s="50">
        <v>100</v>
      </c>
      <c r="M20" s="50">
        <v>100</v>
      </c>
      <c r="N20" s="50">
        <v>100</v>
      </c>
    </row>
    <row r="21" spans="1:14" ht="12.75">
      <c r="A21" s="47"/>
      <c r="B21" s="25" t="s">
        <v>15</v>
      </c>
      <c r="C21" s="145">
        <v>95</v>
      </c>
      <c r="D21" s="145">
        <v>95</v>
      </c>
      <c r="E21" s="145">
        <v>95</v>
      </c>
      <c r="F21" s="145">
        <v>95</v>
      </c>
      <c r="G21" s="145">
        <v>95</v>
      </c>
      <c r="H21" s="145">
        <v>95</v>
      </c>
      <c r="I21" s="50">
        <v>95</v>
      </c>
      <c r="J21" s="50">
        <v>95</v>
      </c>
      <c r="K21" s="50">
        <v>95</v>
      </c>
      <c r="L21" s="50">
        <v>48</v>
      </c>
      <c r="M21" s="50">
        <v>48</v>
      </c>
      <c r="N21" s="50">
        <v>48</v>
      </c>
    </row>
    <row r="22" spans="1:14" ht="14.25" customHeight="1">
      <c r="A22" s="47"/>
      <c r="B22" s="25" t="s">
        <v>16</v>
      </c>
      <c r="C22" s="50">
        <v>200</v>
      </c>
      <c r="D22" s="50">
        <v>200</v>
      </c>
      <c r="E22" s="50">
        <v>200</v>
      </c>
      <c r="F22" s="50">
        <v>200</v>
      </c>
      <c r="G22" s="50">
        <v>200</v>
      </c>
      <c r="H22" s="50">
        <v>200</v>
      </c>
      <c r="I22" s="50">
        <v>200</v>
      </c>
      <c r="J22" s="50">
        <v>200</v>
      </c>
      <c r="K22" s="50">
        <v>200</v>
      </c>
      <c r="L22" s="50">
        <v>200</v>
      </c>
      <c r="M22" s="50">
        <v>200</v>
      </c>
      <c r="N22" s="50">
        <v>200</v>
      </c>
    </row>
    <row r="23" spans="1:14" ht="12.75">
      <c r="A23" s="47"/>
      <c r="B23" s="25" t="s">
        <v>17</v>
      </c>
      <c r="C23" s="50">
        <v>300</v>
      </c>
      <c r="D23" s="50">
        <v>300</v>
      </c>
      <c r="E23" s="50">
        <v>300</v>
      </c>
      <c r="F23" s="50">
        <v>300</v>
      </c>
      <c r="G23" s="50">
        <v>300</v>
      </c>
      <c r="H23" s="50">
        <v>300</v>
      </c>
      <c r="I23" s="50">
        <v>300</v>
      </c>
      <c r="J23" s="50">
        <v>300</v>
      </c>
      <c r="K23" s="50">
        <v>300</v>
      </c>
      <c r="L23" s="50">
        <v>150</v>
      </c>
      <c r="M23" s="50">
        <v>150</v>
      </c>
      <c r="N23" s="50">
        <v>150</v>
      </c>
    </row>
    <row r="24" spans="1:14" ht="12.75">
      <c r="A24" s="47"/>
      <c r="B24" s="25" t="s">
        <v>18</v>
      </c>
      <c r="C24" s="145">
        <f>630-210*0.88</f>
        <v>445.2</v>
      </c>
      <c r="D24" s="145">
        <f>630-210*0.88</f>
        <v>445.2</v>
      </c>
      <c r="E24" s="145">
        <f>630-210*0.88</f>
        <v>445.2</v>
      </c>
      <c r="F24" s="145">
        <v>630</v>
      </c>
      <c r="G24" s="145">
        <v>630</v>
      </c>
      <c r="H24" s="145">
        <v>630</v>
      </c>
      <c r="I24" s="50">
        <v>630</v>
      </c>
      <c r="J24" s="50">
        <v>630</v>
      </c>
      <c r="K24" s="50">
        <v>630</v>
      </c>
      <c r="L24" s="50">
        <v>630</v>
      </c>
      <c r="M24" s="50">
        <v>630</v>
      </c>
      <c r="N24" s="50">
        <v>630</v>
      </c>
    </row>
    <row r="25" spans="1:14" ht="13.5" thickBot="1">
      <c r="A25" s="47"/>
      <c r="B25" s="26" t="s">
        <v>19</v>
      </c>
      <c r="C25" s="146">
        <f aca="true" t="shared" si="0" ref="C25:N25">SUM(C20:C24)</f>
        <v>1140.2</v>
      </c>
      <c r="D25" s="146">
        <f>SUM(D20:D24)</f>
        <v>1140.2</v>
      </c>
      <c r="E25" s="146">
        <f>SUM(E20:E24)</f>
        <v>1140.2</v>
      </c>
      <c r="F25" s="146">
        <f>SUM(F20:F24)</f>
        <v>1325</v>
      </c>
      <c r="G25" s="146">
        <f>SUM(G20:G24)</f>
        <v>1325</v>
      </c>
      <c r="H25" s="146">
        <f>SUM(H20:H24)</f>
        <v>1325</v>
      </c>
      <c r="I25" s="51">
        <f t="shared" si="0"/>
        <v>1325</v>
      </c>
      <c r="J25" s="51">
        <f t="shared" si="0"/>
        <v>1325</v>
      </c>
      <c r="K25" s="51">
        <f t="shared" si="0"/>
        <v>1325</v>
      </c>
      <c r="L25" s="51">
        <f t="shared" si="0"/>
        <v>1128</v>
      </c>
      <c r="M25" s="51">
        <f t="shared" si="0"/>
        <v>1128</v>
      </c>
      <c r="N25" s="51">
        <f t="shared" si="0"/>
        <v>1128</v>
      </c>
    </row>
    <row r="26" spans="1:14" ht="29.25" customHeight="1" thickBot="1">
      <c r="A26" s="45" t="s">
        <v>26</v>
      </c>
      <c r="B26" s="27" t="s">
        <v>83</v>
      </c>
      <c r="C26" s="52">
        <f aca="true" t="shared" si="1" ref="C26:H26">+(C20+C21+C22+C23)*0.9+C24*0.95</f>
        <v>1048.44</v>
      </c>
      <c r="D26" s="52">
        <f t="shared" si="1"/>
        <v>1048.44</v>
      </c>
      <c r="E26" s="52">
        <f t="shared" si="1"/>
        <v>1048.44</v>
      </c>
      <c r="F26" s="52">
        <f t="shared" si="1"/>
        <v>1224</v>
      </c>
      <c r="G26" s="52">
        <f t="shared" si="1"/>
        <v>1224</v>
      </c>
      <c r="H26" s="52">
        <f t="shared" si="1"/>
        <v>1224</v>
      </c>
      <c r="I26" s="52">
        <f aca="true" t="shared" si="2" ref="I26:N26">+(I20+I21+I22+I23)*0.9+I24*0.95</f>
        <v>1224</v>
      </c>
      <c r="J26" s="52">
        <f t="shared" si="2"/>
        <v>1224</v>
      </c>
      <c r="K26" s="52">
        <f t="shared" si="2"/>
        <v>1224</v>
      </c>
      <c r="L26" s="52">
        <f t="shared" si="2"/>
        <v>1046.7</v>
      </c>
      <c r="M26" s="52">
        <f t="shared" si="2"/>
        <v>1046.7</v>
      </c>
      <c r="N26" s="52">
        <f t="shared" si="2"/>
        <v>1046.7</v>
      </c>
    </row>
    <row r="27" spans="1:14" ht="13.5" thickBot="1">
      <c r="A27" s="47"/>
      <c r="B27" s="28" t="s">
        <v>20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31.5" customHeight="1">
      <c r="A28" s="47"/>
      <c r="B28" s="29" t="s">
        <v>84</v>
      </c>
      <c r="C28" s="106">
        <f>1918</f>
        <v>1918</v>
      </c>
      <c r="D28" s="106">
        <f>1918</f>
        <v>1918</v>
      </c>
      <c r="E28" s="106">
        <f>1918</f>
        <v>1918</v>
      </c>
      <c r="F28" s="106">
        <f>1918</f>
        <v>1918</v>
      </c>
      <c r="G28" s="106">
        <f>1918</f>
        <v>1918</v>
      </c>
      <c r="H28" s="106">
        <f>1918</f>
        <v>1918</v>
      </c>
      <c r="I28" s="54">
        <v>1918</v>
      </c>
      <c r="J28" s="54">
        <v>1918</v>
      </c>
      <c r="K28" s="54">
        <v>1918</v>
      </c>
      <c r="L28" s="54">
        <v>1918</v>
      </c>
      <c r="M28" s="54">
        <v>1918</v>
      </c>
      <c r="N28" s="54">
        <v>1918</v>
      </c>
    </row>
    <row r="29" spans="1:14" ht="27" customHeight="1" thickBot="1">
      <c r="A29" s="47"/>
      <c r="B29" s="55" t="s">
        <v>85</v>
      </c>
      <c r="C29" s="56">
        <v>230</v>
      </c>
      <c r="D29" s="56">
        <v>254</v>
      </c>
      <c r="E29" s="56">
        <v>0</v>
      </c>
      <c r="F29" s="56">
        <v>230</v>
      </c>
      <c r="G29" s="56">
        <v>254</v>
      </c>
      <c r="H29" s="56">
        <v>0</v>
      </c>
      <c r="I29" s="56">
        <v>230</v>
      </c>
      <c r="J29" s="56">
        <v>254</v>
      </c>
      <c r="K29" s="56">
        <v>0</v>
      </c>
      <c r="L29" s="56">
        <v>230</v>
      </c>
      <c r="M29" s="56">
        <v>254</v>
      </c>
      <c r="N29" s="56">
        <v>0</v>
      </c>
    </row>
    <row r="30" spans="1:14" ht="14.25" customHeight="1" thickBot="1">
      <c r="A30" s="45" t="s">
        <v>27</v>
      </c>
      <c r="B30" s="30" t="s">
        <v>28</v>
      </c>
      <c r="C30" s="23">
        <f aca="true" t="shared" si="3" ref="C30:N30">SUM(C28:C29)</f>
        <v>2148</v>
      </c>
      <c r="D30" s="23">
        <f t="shared" si="3"/>
        <v>2172</v>
      </c>
      <c r="E30" s="23">
        <f t="shared" si="3"/>
        <v>1918</v>
      </c>
      <c r="F30" s="23">
        <f t="shared" si="3"/>
        <v>2148</v>
      </c>
      <c r="G30" s="23">
        <f t="shared" si="3"/>
        <v>2172</v>
      </c>
      <c r="H30" s="23">
        <f t="shared" si="3"/>
        <v>1918</v>
      </c>
      <c r="I30" s="53">
        <f t="shared" si="3"/>
        <v>2148</v>
      </c>
      <c r="J30" s="53">
        <f t="shared" si="3"/>
        <v>2172</v>
      </c>
      <c r="K30" s="53">
        <f t="shared" si="3"/>
        <v>1918</v>
      </c>
      <c r="L30" s="53">
        <f t="shared" si="3"/>
        <v>2148</v>
      </c>
      <c r="M30" s="53">
        <f t="shared" si="3"/>
        <v>2172</v>
      </c>
      <c r="N30" s="53">
        <f t="shared" si="3"/>
        <v>1918</v>
      </c>
    </row>
    <row r="31" spans="1:14" ht="14.25" customHeight="1">
      <c r="A31" s="47"/>
      <c r="B31" s="32" t="s">
        <v>86</v>
      </c>
      <c r="C31" s="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8"/>
    </row>
    <row r="32" spans="1:14" ht="14.25" customHeight="1">
      <c r="A32" s="47"/>
      <c r="B32" s="91" t="s">
        <v>29</v>
      </c>
      <c r="C32" s="145">
        <f>230*0.92</f>
        <v>211.60000000000002</v>
      </c>
      <c r="D32" s="145">
        <f aca="true" t="shared" si="4" ref="D32:N32">230*0.92</f>
        <v>211.60000000000002</v>
      </c>
      <c r="E32" s="145">
        <f t="shared" si="4"/>
        <v>211.60000000000002</v>
      </c>
      <c r="F32" s="145">
        <f t="shared" si="4"/>
        <v>211.60000000000002</v>
      </c>
      <c r="G32" s="145">
        <f t="shared" si="4"/>
        <v>211.60000000000002</v>
      </c>
      <c r="H32" s="145">
        <f t="shared" si="4"/>
        <v>211.60000000000002</v>
      </c>
      <c r="I32" s="145">
        <f t="shared" si="4"/>
        <v>211.60000000000002</v>
      </c>
      <c r="J32" s="145">
        <f t="shared" si="4"/>
        <v>211.60000000000002</v>
      </c>
      <c r="K32" s="145">
        <f t="shared" si="4"/>
        <v>211.60000000000002</v>
      </c>
      <c r="L32" s="145">
        <f t="shared" si="4"/>
        <v>211.60000000000002</v>
      </c>
      <c r="M32" s="145">
        <f t="shared" si="4"/>
        <v>211.60000000000002</v>
      </c>
      <c r="N32" s="145">
        <f t="shared" si="4"/>
        <v>211.60000000000002</v>
      </c>
    </row>
    <row r="33" spans="1:14" ht="14.25" customHeight="1">
      <c r="A33" s="47"/>
      <c r="B33" s="33" t="s">
        <v>116</v>
      </c>
      <c r="C33" s="220">
        <v>0</v>
      </c>
      <c r="D33" s="220">
        <v>0</v>
      </c>
      <c r="E33" s="220">
        <v>0</v>
      </c>
      <c r="F33" s="221">
        <v>16</v>
      </c>
      <c r="G33" s="221">
        <v>16</v>
      </c>
      <c r="H33" s="221">
        <v>16</v>
      </c>
      <c r="I33" s="221">
        <v>16</v>
      </c>
      <c r="J33" s="221">
        <v>16</v>
      </c>
      <c r="K33" s="221">
        <v>16</v>
      </c>
      <c r="L33" s="221">
        <v>16</v>
      </c>
      <c r="M33" s="221">
        <v>16</v>
      </c>
      <c r="N33" s="220">
        <v>16</v>
      </c>
    </row>
    <row r="34" spans="1:14" ht="14.25" customHeight="1">
      <c r="A34" s="47"/>
      <c r="B34" s="33" t="s">
        <v>117</v>
      </c>
      <c r="C34" s="220">
        <v>0</v>
      </c>
      <c r="D34" s="220">
        <v>0</v>
      </c>
      <c r="E34" s="220">
        <v>0</v>
      </c>
      <c r="F34" s="221">
        <v>38</v>
      </c>
      <c r="G34" s="221">
        <v>38</v>
      </c>
      <c r="H34" s="221">
        <v>38</v>
      </c>
      <c r="I34" s="221">
        <v>38</v>
      </c>
      <c r="J34" s="221">
        <v>38</v>
      </c>
      <c r="K34" s="221">
        <v>38</v>
      </c>
      <c r="L34" s="221">
        <v>38</v>
      </c>
      <c r="M34" s="221">
        <v>38</v>
      </c>
      <c r="N34" s="220">
        <v>38</v>
      </c>
    </row>
    <row r="35" spans="1:14" ht="14.25" customHeight="1">
      <c r="A35" s="47"/>
      <c r="B35" s="33" t="s">
        <v>119</v>
      </c>
      <c r="C35" s="222">
        <v>0</v>
      </c>
      <c r="D35" s="222">
        <v>0</v>
      </c>
      <c r="E35" s="222">
        <v>-70</v>
      </c>
      <c r="F35" s="223">
        <v>0</v>
      </c>
      <c r="G35" s="223">
        <v>0</v>
      </c>
      <c r="H35" s="223">
        <v>0</v>
      </c>
      <c r="I35" s="223">
        <v>66</v>
      </c>
      <c r="J35" s="223">
        <v>66</v>
      </c>
      <c r="K35" s="223">
        <v>66</v>
      </c>
      <c r="L35" s="223">
        <v>66</v>
      </c>
      <c r="M35" s="223">
        <v>66</v>
      </c>
      <c r="N35" s="222">
        <v>66</v>
      </c>
    </row>
    <row r="36" spans="1:14" ht="14.25" customHeight="1">
      <c r="A36" s="47"/>
      <c r="B36" s="33" t="s">
        <v>198</v>
      </c>
      <c r="C36" s="426">
        <f aca="true" t="shared" si="5" ref="C36:H36">60*0.921</f>
        <v>55.260000000000005</v>
      </c>
      <c r="D36" s="426">
        <f t="shared" si="5"/>
        <v>55.260000000000005</v>
      </c>
      <c r="E36" s="426">
        <f t="shared" si="5"/>
        <v>55.260000000000005</v>
      </c>
      <c r="F36" s="426">
        <f t="shared" si="5"/>
        <v>55.260000000000005</v>
      </c>
      <c r="G36" s="426">
        <f t="shared" si="5"/>
        <v>55.260000000000005</v>
      </c>
      <c r="H36" s="426">
        <f t="shared" si="5"/>
        <v>55.260000000000005</v>
      </c>
      <c r="I36" s="427">
        <v>0</v>
      </c>
      <c r="J36" s="427">
        <v>0</v>
      </c>
      <c r="K36" s="427">
        <v>0</v>
      </c>
      <c r="L36" s="427">
        <v>0</v>
      </c>
      <c r="M36" s="427">
        <v>0</v>
      </c>
      <c r="N36" s="426">
        <v>0</v>
      </c>
    </row>
    <row r="37" spans="1:14" ht="14.25" customHeight="1">
      <c r="A37" s="47"/>
      <c r="B37" s="215" t="s">
        <v>205</v>
      </c>
      <c r="C37" s="426">
        <v>96</v>
      </c>
      <c r="D37" s="426">
        <v>96</v>
      </c>
      <c r="E37" s="426">
        <v>96</v>
      </c>
      <c r="F37" s="427">
        <v>96</v>
      </c>
      <c r="G37" s="427">
        <v>96</v>
      </c>
      <c r="H37" s="427">
        <v>96</v>
      </c>
      <c r="I37" s="427">
        <v>0</v>
      </c>
      <c r="J37" s="427">
        <v>0</v>
      </c>
      <c r="K37" s="427">
        <v>0</v>
      </c>
      <c r="L37" s="427">
        <v>0</v>
      </c>
      <c r="M37" s="427">
        <v>0</v>
      </c>
      <c r="N37" s="426">
        <v>0</v>
      </c>
    </row>
    <row r="38" spans="1:14" ht="14.25" customHeight="1">
      <c r="A38" s="47"/>
      <c r="B38" s="33" t="s">
        <v>113</v>
      </c>
      <c r="C38" s="204">
        <v>0</v>
      </c>
      <c r="D38" s="204">
        <v>0</v>
      </c>
      <c r="E38" s="204">
        <v>0</v>
      </c>
      <c r="F38" s="59">
        <v>0</v>
      </c>
      <c r="G38" s="204">
        <v>0</v>
      </c>
      <c r="H38" s="204">
        <v>0</v>
      </c>
      <c r="I38" s="59">
        <v>96</v>
      </c>
      <c r="J38" s="204">
        <v>96</v>
      </c>
      <c r="K38" s="204">
        <v>0</v>
      </c>
      <c r="L38" s="59">
        <v>96</v>
      </c>
      <c r="M38" s="204">
        <v>96</v>
      </c>
      <c r="N38" s="204">
        <v>0</v>
      </c>
    </row>
    <row r="39" spans="1:14" ht="14.25" customHeight="1">
      <c r="A39" s="47"/>
      <c r="B39" s="33" t="s">
        <v>111</v>
      </c>
      <c r="C39" s="59">
        <v>92</v>
      </c>
      <c r="D39" s="59">
        <v>92</v>
      </c>
      <c r="E39" s="59">
        <v>92</v>
      </c>
      <c r="F39" s="59">
        <v>92</v>
      </c>
      <c r="G39" s="59">
        <v>92</v>
      </c>
      <c r="H39" s="59">
        <v>92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</row>
    <row r="40" spans="1:14" ht="14.25" customHeight="1">
      <c r="A40" s="47"/>
      <c r="B40" s="33" t="s">
        <v>199</v>
      </c>
      <c r="C40" s="59">
        <v>22</v>
      </c>
      <c r="D40" s="59">
        <v>22</v>
      </c>
      <c r="E40" s="59">
        <v>22</v>
      </c>
      <c r="F40" s="59">
        <v>22</v>
      </c>
      <c r="G40" s="59">
        <v>22</v>
      </c>
      <c r="H40" s="59">
        <v>22</v>
      </c>
      <c r="I40" s="59">
        <v>22</v>
      </c>
      <c r="J40" s="59">
        <v>22</v>
      </c>
      <c r="K40" s="59">
        <v>22</v>
      </c>
      <c r="L40" s="59">
        <v>22</v>
      </c>
      <c r="M40" s="59">
        <v>22</v>
      </c>
      <c r="N40" s="59">
        <v>22</v>
      </c>
    </row>
    <row r="41" spans="1:14" ht="14.25" customHeight="1">
      <c r="A41" s="47"/>
      <c r="B41" s="33" t="s">
        <v>109</v>
      </c>
      <c r="C41" s="59">
        <v>92</v>
      </c>
      <c r="D41" s="59">
        <v>92</v>
      </c>
      <c r="E41" s="59">
        <v>92</v>
      </c>
      <c r="F41" s="59">
        <v>92</v>
      </c>
      <c r="G41" s="59">
        <v>92</v>
      </c>
      <c r="H41" s="59">
        <v>92</v>
      </c>
      <c r="I41" s="59">
        <v>92</v>
      </c>
      <c r="J41" s="59">
        <v>92</v>
      </c>
      <c r="K41" s="59">
        <v>92</v>
      </c>
      <c r="L41" s="59">
        <v>92</v>
      </c>
      <c r="M41" s="59">
        <v>92</v>
      </c>
      <c r="N41" s="59">
        <v>92</v>
      </c>
    </row>
    <row r="42" spans="1:14" ht="13.5" thickBot="1">
      <c r="A42" s="45" t="s">
        <v>30</v>
      </c>
      <c r="B42" s="30" t="s">
        <v>28</v>
      </c>
      <c r="C42" s="59">
        <f aca="true" t="shared" si="6" ref="C42:N42">SUM(C32:C41)</f>
        <v>568.86</v>
      </c>
      <c r="D42" s="59">
        <f t="shared" si="6"/>
        <v>568.86</v>
      </c>
      <c r="E42" s="59">
        <f t="shared" si="6"/>
        <v>498.86</v>
      </c>
      <c r="F42" s="59">
        <f t="shared" si="6"/>
        <v>622.86</v>
      </c>
      <c r="G42" s="59">
        <f t="shared" si="6"/>
        <v>622.86</v>
      </c>
      <c r="H42" s="59">
        <f t="shared" si="6"/>
        <v>622.86</v>
      </c>
      <c r="I42" s="59">
        <f t="shared" si="6"/>
        <v>541.6</v>
      </c>
      <c r="J42" s="59">
        <f t="shared" si="6"/>
        <v>541.6</v>
      </c>
      <c r="K42" s="59">
        <f t="shared" si="6"/>
        <v>445.6</v>
      </c>
      <c r="L42" s="59">
        <f t="shared" si="6"/>
        <v>541.6</v>
      </c>
      <c r="M42" s="59">
        <f t="shared" si="6"/>
        <v>541.6</v>
      </c>
      <c r="N42" s="59">
        <f t="shared" si="6"/>
        <v>445.6</v>
      </c>
    </row>
    <row r="43" spans="1:14" ht="13.5" thickBot="1">
      <c r="A43" s="45" t="s">
        <v>31</v>
      </c>
      <c r="B43" s="28" t="s">
        <v>32</v>
      </c>
      <c r="C43" s="59">
        <f aca="true" t="shared" si="7" ref="C43:N43">+C26+C30+C42</f>
        <v>3765.3</v>
      </c>
      <c r="D43" s="58">
        <f t="shared" si="7"/>
        <v>3789.3</v>
      </c>
      <c r="E43" s="58">
        <f t="shared" si="7"/>
        <v>3465.3</v>
      </c>
      <c r="F43" s="58">
        <f t="shared" si="7"/>
        <v>3994.86</v>
      </c>
      <c r="G43" s="58">
        <f t="shared" si="7"/>
        <v>4018.86</v>
      </c>
      <c r="H43" s="58">
        <f t="shared" si="7"/>
        <v>3764.86</v>
      </c>
      <c r="I43" s="58">
        <f t="shared" si="7"/>
        <v>3913.6</v>
      </c>
      <c r="J43" s="58">
        <f t="shared" si="7"/>
        <v>3937.6</v>
      </c>
      <c r="K43" s="58">
        <f t="shared" si="7"/>
        <v>3587.6</v>
      </c>
      <c r="L43" s="58">
        <f t="shared" si="7"/>
        <v>3736.2999999999997</v>
      </c>
      <c r="M43" s="58">
        <f t="shared" si="7"/>
        <v>3760.2999999999997</v>
      </c>
      <c r="N43" s="59">
        <f t="shared" si="7"/>
        <v>3410.2999999999997</v>
      </c>
    </row>
    <row r="44" spans="1:14" ht="14.25" customHeight="1" thickBot="1">
      <c r="A44" s="45" t="s">
        <v>33</v>
      </c>
      <c r="B44" s="35" t="s">
        <v>34</v>
      </c>
      <c r="C44" s="71">
        <f aca="true" t="shared" si="8" ref="C44:N44">+C43-C18</f>
        <v>515.3000000000002</v>
      </c>
      <c r="D44" s="71">
        <f t="shared" si="8"/>
        <v>389.3000000000002</v>
      </c>
      <c r="E44" s="71">
        <f t="shared" si="8"/>
        <v>465.3000000000002</v>
      </c>
      <c r="F44" s="71">
        <f t="shared" si="8"/>
        <v>94.86000000000013</v>
      </c>
      <c r="G44" s="71">
        <f t="shared" si="8"/>
        <v>218.86000000000013</v>
      </c>
      <c r="H44" s="71">
        <f t="shared" si="8"/>
        <v>364.8600000000001</v>
      </c>
      <c r="I44" s="71">
        <f t="shared" si="8"/>
        <v>113.59999999999991</v>
      </c>
      <c r="J44" s="71">
        <f t="shared" si="8"/>
        <v>187.5999999999999</v>
      </c>
      <c r="K44" s="71">
        <f t="shared" si="8"/>
        <v>287.5999999999999</v>
      </c>
      <c r="L44" s="109">
        <f t="shared" si="8"/>
        <v>-113.70000000000027</v>
      </c>
      <c r="M44" s="71">
        <f t="shared" si="8"/>
        <v>110.29999999999973</v>
      </c>
      <c r="N44" s="71">
        <f t="shared" si="8"/>
        <v>60.29999999999973</v>
      </c>
    </row>
    <row r="45" spans="1:13" ht="14.25" customHeight="1">
      <c r="A45" s="92"/>
      <c r="B45" s="98" t="s">
        <v>35</v>
      </c>
      <c r="J45" s="93"/>
      <c r="K45" s="1"/>
      <c r="L45" s="93"/>
      <c r="M45" s="93"/>
    </row>
    <row r="46" spans="1:13" ht="14.25" customHeight="1">
      <c r="A46" s="213">
        <v>1</v>
      </c>
      <c r="B46" s="17" t="s">
        <v>204</v>
      </c>
      <c r="J46" s="93"/>
      <c r="K46" s="1"/>
      <c r="L46" s="93"/>
      <c r="M46" s="93"/>
    </row>
    <row r="47" spans="1:14" ht="12.75">
      <c r="A47" s="1">
        <v>2</v>
      </c>
      <c r="B47" s="60" t="s">
        <v>89</v>
      </c>
      <c r="J47" s="94"/>
      <c r="K47" s="1"/>
      <c r="L47" s="94"/>
      <c r="M47" s="94"/>
      <c r="N47" s="1"/>
    </row>
    <row r="48" spans="1:2" ht="12.75">
      <c r="A48">
        <v>3</v>
      </c>
      <c r="B48" s="129" t="s">
        <v>200</v>
      </c>
    </row>
    <row r="49" spans="1:2" ht="12.75">
      <c r="A49" s="1">
        <v>4</v>
      </c>
      <c r="B49" s="129" t="s">
        <v>201</v>
      </c>
    </row>
    <row r="50" spans="1:2" ht="12.75">
      <c r="A50" s="105">
        <v>5</v>
      </c>
      <c r="B50" s="129" t="s">
        <v>203</v>
      </c>
    </row>
    <row r="51" ht="12.75">
      <c r="A51" s="105"/>
    </row>
    <row r="52" spans="3:14" ht="15.75" customHeight="1">
      <c r="C52" s="2" t="s">
        <v>0</v>
      </c>
      <c r="G52" s="1"/>
      <c r="H52" s="1"/>
      <c r="I52" s="1"/>
      <c r="J52" s="1"/>
      <c r="K52" s="1"/>
      <c r="L52" s="1"/>
      <c r="M52" s="1"/>
      <c r="N52" s="1"/>
    </row>
    <row r="53" spans="2:14" ht="17.25" customHeight="1">
      <c r="B53" s="5" t="s">
        <v>195</v>
      </c>
      <c r="D53" s="1"/>
      <c r="E53" s="1"/>
      <c r="F53" s="3"/>
      <c r="G53" s="1"/>
      <c r="H53" s="1"/>
      <c r="I53" s="1"/>
      <c r="L53" s="1"/>
      <c r="M53" s="1"/>
      <c r="N53" s="1"/>
    </row>
    <row r="54" spans="2:13" ht="24" customHeight="1" thickBot="1">
      <c r="B54" s="38" t="s">
        <v>1</v>
      </c>
      <c r="C54" s="6"/>
      <c r="D54" s="1"/>
      <c r="E54" s="1"/>
      <c r="F54" s="6"/>
      <c r="G54" s="1"/>
      <c r="H54" s="1"/>
      <c r="I54" s="4"/>
      <c r="J54" s="1"/>
      <c r="K54" s="1"/>
      <c r="M54" s="4" t="s">
        <v>206</v>
      </c>
    </row>
    <row r="55" spans="1:14" ht="16.5" thickBot="1">
      <c r="A55" s="39"/>
      <c r="B55" s="63"/>
      <c r="C55" s="7"/>
      <c r="D55" s="9"/>
      <c r="E55" s="8" t="s">
        <v>72</v>
      </c>
      <c r="F55" s="9"/>
      <c r="G55" s="9"/>
      <c r="H55" s="10"/>
      <c r="I55" s="7"/>
      <c r="J55" s="9"/>
      <c r="K55" s="8" t="s">
        <v>71</v>
      </c>
      <c r="L55" s="9"/>
      <c r="M55" s="9"/>
      <c r="N55" s="10"/>
    </row>
    <row r="56" spans="1:14" ht="13.5" thickBot="1">
      <c r="A56" s="41" t="s">
        <v>23</v>
      </c>
      <c r="B56" s="64" t="s">
        <v>2</v>
      </c>
      <c r="C56" s="447" t="s">
        <v>3</v>
      </c>
      <c r="D56" s="439"/>
      <c r="E56" s="440"/>
      <c r="F56" s="441" t="s">
        <v>4</v>
      </c>
      <c r="G56" s="442"/>
      <c r="H56" s="443"/>
      <c r="I56" s="441" t="s">
        <v>3</v>
      </c>
      <c r="J56" s="444"/>
      <c r="K56" s="445"/>
      <c r="L56" s="446" t="s">
        <v>4</v>
      </c>
      <c r="M56" s="442"/>
      <c r="N56" s="443"/>
    </row>
    <row r="57" spans="1:14" ht="13.5" thickBot="1">
      <c r="A57" s="43" t="s">
        <v>24</v>
      </c>
      <c r="B57" s="14"/>
      <c r="C57" s="12" t="s">
        <v>77</v>
      </c>
      <c r="D57" s="13" t="s">
        <v>78</v>
      </c>
      <c r="E57" s="13" t="s">
        <v>79</v>
      </c>
      <c r="F57" s="12" t="s">
        <v>77</v>
      </c>
      <c r="G57" s="13" t="s">
        <v>78</v>
      </c>
      <c r="H57" s="13" t="s">
        <v>79</v>
      </c>
      <c r="I57" s="12" t="s">
        <v>77</v>
      </c>
      <c r="J57" s="13" t="s">
        <v>78</v>
      </c>
      <c r="K57" s="13" t="s">
        <v>79</v>
      </c>
      <c r="L57" s="12" t="s">
        <v>77</v>
      </c>
      <c r="M57" s="13" t="s">
        <v>78</v>
      </c>
      <c r="N57" s="13" t="s">
        <v>79</v>
      </c>
    </row>
    <row r="58" spans="1:14" ht="15" customHeight="1" thickBot="1">
      <c r="A58" s="41"/>
      <c r="B58" s="87"/>
      <c r="C58" s="12" t="s">
        <v>80</v>
      </c>
      <c r="D58" s="13" t="s">
        <v>81</v>
      </c>
      <c r="E58" s="13" t="s">
        <v>82</v>
      </c>
      <c r="F58" s="12" t="s">
        <v>80</v>
      </c>
      <c r="G58" s="13" t="s">
        <v>81</v>
      </c>
      <c r="H58" s="13" t="s">
        <v>82</v>
      </c>
      <c r="I58" s="12" t="s">
        <v>80</v>
      </c>
      <c r="J58" s="13" t="s">
        <v>81</v>
      </c>
      <c r="K58" s="13" t="s">
        <v>82</v>
      </c>
      <c r="L58" s="12" t="s">
        <v>80</v>
      </c>
      <c r="M58" s="13" t="s">
        <v>81</v>
      </c>
      <c r="N58" s="13" t="s">
        <v>82</v>
      </c>
    </row>
    <row r="59" spans="1:14" ht="15" customHeight="1">
      <c r="A59" s="41"/>
      <c r="B59" s="15" t="s">
        <v>5</v>
      </c>
      <c r="C59" s="16">
        <v>2620</v>
      </c>
      <c r="D59" s="16">
        <v>2634</v>
      </c>
      <c r="E59" s="88"/>
      <c r="F59" s="16">
        <v>2674</v>
      </c>
      <c r="G59" s="16">
        <v>2740</v>
      </c>
      <c r="H59" s="88"/>
      <c r="I59" s="16">
        <v>2650</v>
      </c>
      <c r="J59" s="16">
        <v>2850</v>
      </c>
      <c r="K59" s="88"/>
      <c r="L59" s="16">
        <v>2650</v>
      </c>
      <c r="M59" s="16">
        <v>2850</v>
      </c>
      <c r="N59" s="88"/>
    </row>
    <row r="60" spans="1:14" ht="15" customHeight="1">
      <c r="A60" s="41"/>
      <c r="B60" s="15" t="s">
        <v>6</v>
      </c>
      <c r="C60" s="16">
        <v>2829</v>
      </c>
      <c r="D60" s="16">
        <v>3020</v>
      </c>
      <c r="E60" s="89"/>
      <c r="F60" s="16">
        <v>2722</v>
      </c>
      <c r="G60" s="16">
        <v>2835</v>
      </c>
      <c r="H60" s="89"/>
      <c r="I60" s="16">
        <v>2892</v>
      </c>
      <c r="J60" s="16">
        <v>2991</v>
      </c>
      <c r="K60" s="89"/>
      <c r="L60" s="16">
        <v>2818</v>
      </c>
      <c r="M60" s="16">
        <v>2929</v>
      </c>
      <c r="N60" s="89"/>
    </row>
    <row r="61" spans="1:14" ht="15" customHeight="1">
      <c r="A61" s="41"/>
      <c r="B61" s="15" t="s">
        <v>7</v>
      </c>
      <c r="C61" s="16">
        <v>3100</v>
      </c>
      <c r="D61" s="16">
        <v>3189</v>
      </c>
      <c r="E61" s="89"/>
      <c r="F61" s="16">
        <v>3265</v>
      </c>
      <c r="G61" s="16">
        <v>3065</v>
      </c>
      <c r="H61" s="89"/>
      <c r="I61" s="16">
        <v>3175</v>
      </c>
      <c r="J61" s="16">
        <v>3242</v>
      </c>
      <c r="K61" s="89"/>
      <c r="L61" s="16">
        <v>3347</v>
      </c>
      <c r="M61" s="16">
        <v>3211</v>
      </c>
      <c r="N61" s="89"/>
    </row>
    <row r="62" spans="1:14" ht="15" customHeight="1">
      <c r="A62" s="41"/>
      <c r="B62" s="15" t="s">
        <v>8</v>
      </c>
      <c r="C62" s="16">
        <v>3092</v>
      </c>
      <c r="D62" s="16">
        <v>3284</v>
      </c>
      <c r="E62" s="89"/>
      <c r="F62" s="16">
        <v>3135</v>
      </c>
      <c r="G62" s="16">
        <v>3207</v>
      </c>
      <c r="H62" s="89"/>
      <c r="I62" s="16">
        <v>3157</v>
      </c>
      <c r="J62" s="16">
        <v>3303</v>
      </c>
      <c r="K62" s="89"/>
      <c r="L62" s="16">
        <v>2881</v>
      </c>
      <c r="M62" s="16">
        <v>3133</v>
      </c>
      <c r="N62" s="89"/>
    </row>
    <row r="63" spans="1:14" ht="15" customHeight="1">
      <c r="A63" s="41"/>
      <c r="B63" s="15" t="s">
        <v>9</v>
      </c>
      <c r="C63" s="16">
        <v>3315</v>
      </c>
      <c r="D63" s="16">
        <v>3336</v>
      </c>
      <c r="E63" s="89"/>
      <c r="F63" s="16">
        <v>3309</v>
      </c>
      <c r="G63" s="16">
        <v>3339</v>
      </c>
      <c r="H63" s="89"/>
      <c r="I63" s="16">
        <v>3520</v>
      </c>
      <c r="J63" s="16">
        <v>3553</v>
      </c>
      <c r="K63" s="89"/>
      <c r="L63" s="16">
        <v>3499</v>
      </c>
      <c r="M63" s="16">
        <v>3471</v>
      </c>
      <c r="N63" s="89"/>
    </row>
    <row r="64" spans="1:14" ht="15" customHeight="1">
      <c r="A64" s="41"/>
      <c r="B64" s="15" t="s">
        <v>10</v>
      </c>
      <c r="C64" s="16">
        <v>3381</v>
      </c>
      <c r="D64" s="16">
        <v>3319</v>
      </c>
      <c r="E64" s="89"/>
      <c r="F64" s="16">
        <v>3706</v>
      </c>
      <c r="G64" s="16">
        <v>3552</v>
      </c>
      <c r="H64" s="89"/>
      <c r="I64" s="16">
        <v>3446</v>
      </c>
      <c r="J64" s="16">
        <v>3352</v>
      </c>
      <c r="K64" s="89"/>
      <c r="L64" s="16">
        <v>3567</v>
      </c>
      <c r="M64" s="16">
        <v>3624</v>
      </c>
      <c r="N64" s="89"/>
    </row>
    <row r="65" spans="1:14" ht="15" customHeight="1">
      <c r="A65" s="41"/>
      <c r="B65" s="15" t="s">
        <v>11</v>
      </c>
      <c r="C65" s="19">
        <v>3560</v>
      </c>
      <c r="D65" s="19">
        <v>3531</v>
      </c>
      <c r="E65" s="89"/>
      <c r="F65" s="19">
        <v>3692</v>
      </c>
      <c r="G65" s="19">
        <v>3656</v>
      </c>
      <c r="H65" s="89"/>
      <c r="I65" s="19">
        <v>3983</v>
      </c>
      <c r="J65" s="19">
        <v>3901</v>
      </c>
      <c r="K65" s="89"/>
      <c r="L65" s="19">
        <v>3722</v>
      </c>
      <c r="M65" s="19">
        <v>3817</v>
      </c>
      <c r="N65" s="89"/>
    </row>
    <row r="66" spans="1:14" ht="15" customHeight="1" thickBot="1">
      <c r="A66" s="41"/>
      <c r="B66" s="44" t="s">
        <v>12</v>
      </c>
      <c r="C66" s="21">
        <v>4075</v>
      </c>
      <c r="D66" s="21">
        <v>3919</v>
      </c>
      <c r="E66" s="90"/>
      <c r="F66" s="21">
        <v>3726</v>
      </c>
      <c r="G66" s="21">
        <v>3647</v>
      </c>
      <c r="H66" s="90"/>
      <c r="I66" s="21">
        <v>3909</v>
      </c>
      <c r="J66" s="21">
        <v>3819</v>
      </c>
      <c r="K66" s="90"/>
      <c r="L66" s="21">
        <v>3879</v>
      </c>
      <c r="M66" s="21">
        <v>3840</v>
      </c>
      <c r="N66" s="90"/>
    </row>
    <row r="67" spans="1:14" ht="15" customHeight="1" thickBot="1">
      <c r="A67" s="43"/>
      <c r="B67" s="20" t="s">
        <v>69</v>
      </c>
      <c r="C67" s="21">
        <v>3715</v>
      </c>
      <c r="D67" s="21">
        <v>3707</v>
      </c>
      <c r="E67" s="21">
        <v>3319</v>
      </c>
      <c r="F67" s="21">
        <v>3901</v>
      </c>
      <c r="G67" s="21">
        <v>3807</v>
      </c>
      <c r="H67" s="21">
        <v>3368</v>
      </c>
      <c r="I67" s="21">
        <v>3994</v>
      </c>
      <c r="J67" s="21">
        <v>3862</v>
      </c>
      <c r="K67" s="21">
        <v>3377</v>
      </c>
      <c r="L67" s="21">
        <v>4036</v>
      </c>
      <c r="M67" s="21">
        <v>3890</v>
      </c>
      <c r="N67" s="21">
        <v>3457</v>
      </c>
    </row>
    <row r="68" spans="1:14" ht="27" customHeight="1" thickBot="1">
      <c r="A68" s="45"/>
      <c r="B68" s="22" t="s">
        <v>186</v>
      </c>
      <c r="C68" s="46">
        <v>4055</v>
      </c>
      <c r="D68" s="46">
        <v>4053</v>
      </c>
      <c r="E68" s="46">
        <f>+(((((C68-C67)/C67)+(D68-D67)/D67)/2)+1)*E67</f>
        <v>3625.77150500254</v>
      </c>
      <c r="F68" s="46">
        <v>4321</v>
      </c>
      <c r="G68" s="46">
        <v>4199</v>
      </c>
      <c r="H68" s="46">
        <f>+(((((F68-F67)/F67)+(G68-G67)/G67)/2)+1)*H67</f>
        <v>3722.705833578601</v>
      </c>
      <c r="I68" s="46">
        <v>4406</v>
      </c>
      <c r="J68" s="46">
        <v>4228</v>
      </c>
      <c r="K68" s="46">
        <f>+(((((I68-I67)/I67)+(J68-J67)/J67)/2)+1)*K67</f>
        <v>3711.195149404583</v>
      </c>
      <c r="L68" s="46">
        <v>4515</v>
      </c>
      <c r="M68" s="46">
        <v>4263</v>
      </c>
      <c r="N68" s="46">
        <f>+(((((L68-L67)/L67)+(M68-M67)/M67)/2)+1)*N67</f>
        <v>3827.8820890265247</v>
      </c>
    </row>
    <row r="69" spans="1:14" ht="15" customHeight="1" thickBot="1">
      <c r="A69" s="47" t="s">
        <v>25</v>
      </c>
      <c r="B69" s="104" t="s">
        <v>90</v>
      </c>
      <c r="C69" s="107">
        <v>4050</v>
      </c>
      <c r="D69" s="108">
        <v>4050</v>
      </c>
      <c r="E69" s="108">
        <v>3650</v>
      </c>
      <c r="F69" s="108">
        <v>4350</v>
      </c>
      <c r="G69" s="108">
        <v>4200</v>
      </c>
      <c r="H69" s="108">
        <v>3750</v>
      </c>
      <c r="I69" s="108">
        <v>4400</v>
      </c>
      <c r="J69" s="108">
        <v>4250</v>
      </c>
      <c r="K69" s="108">
        <v>3700</v>
      </c>
      <c r="L69" s="108">
        <v>4500</v>
      </c>
      <c r="M69" s="108">
        <v>4250</v>
      </c>
      <c r="N69" s="108">
        <v>3850</v>
      </c>
    </row>
    <row r="70" spans="1:14" ht="12.75">
      <c r="A70" s="47"/>
      <c r="B70" s="24" t="s">
        <v>13</v>
      </c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2.75">
      <c r="A71" s="47"/>
      <c r="B71" s="25" t="s">
        <v>14</v>
      </c>
      <c r="C71" s="50">
        <v>100</v>
      </c>
      <c r="D71" s="50">
        <v>100</v>
      </c>
      <c r="E71" s="50">
        <v>100</v>
      </c>
      <c r="F71" s="50">
        <v>100</v>
      </c>
      <c r="G71" s="50">
        <v>100</v>
      </c>
      <c r="H71" s="50">
        <v>100</v>
      </c>
      <c r="I71" s="50">
        <v>100</v>
      </c>
      <c r="J71" s="50">
        <v>100</v>
      </c>
      <c r="K71" s="50">
        <v>100</v>
      </c>
      <c r="L71" s="50">
        <v>100</v>
      </c>
      <c r="M71" s="50">
        <v>100</v>
      </c>
      <c r="N71" s="50">
        <v>100</v>
      </c>
    </row>
    <row r="72" spans="1:14" ht="12.75">
      <c r="A72" s="47"/>
      <c r="B72" s="25" t="s">
        <v>15</v>
      </c>
      <c r="C72" s="50">
        <v>48</v>
      </c>
      <c r="D72" s="50">
        <v>48</v>
      </c>
      <c r="E72" s="50">
        <v>48</v>
      </c>
      <c r="F72" s="50">
        <v>48</v>
      </c>
      <c r="G72" s="50">
        <v>48</v>
      </c>
      <c r="H72" s="50">
        <v>48</v>
      </c>
      <c r="I72" s="50">
        <v>95</v>
      </c>
      <c r="J72" s="50">
        <v>95</v>
      </c>
      <c r="K72" s="50">
        <v>95</v>
      </c>
      <c r="L72" s="50">
        <v>95</v>
      </c>
      <c r="M72" s="50">
        <v>95</v>
      </c>
      <c r="N72" s="50">
        <v>95</v>
      </c>
    </row>
    <row r="73" spans="1:14" ht="14.25" customHeight="1">
      <c r="A73" s="47"/>
      <c r="B73" s="25" t="s">
        <v>16</v>
      </c>
      <c r="C73" s="50">
        <v>200</v>
      </c>
      <c r="D73" s="50">
        <v>200</v>
      </c>
      <c r="E73" s="50">
        <v>200</v>
      </c>
      <c r="F73" s="50">
        <v>200</v>
      </c>
      <c r="G73" s="50">
        <v>200</v>
      </c>
      <c r="H73" s="50">
        <v>200</v>
      </c>
      <c r="I73" s="50">
        <v>200</v>
      </c>
      <c r="J73" s="50">
        <v>200</v>
      </c>
      <c r="K73" s="50">
        <v>200</v>
      </c>
      <c r="L73" s="50">
        <v>200</v>
      </c>
      <c r="M73" s="50">
        <v>200</v>
      </c>
      <c r="N73" s="50">
        <v>200</v>
      </c>
    </row>
    <row r="74" spans="1:14" ht="12.75">
      <c r="A74" s="47"/>
      <c r="B74" s="25" t="s">
        <v>17</v>
      </c>
      <c r="C74" s="50">
        <v>150</v>
      </c>
      <c r="D74" s="50">
        <v>150</v>
      </c>
      <c r="E74" s="50">
        <v>150</v>
      </c>
      <c r="F74" s="50">
        <v>300</v>
      </c>
      <c r="G74" s="50">
        <v>300</v>
      </c>
      <c r="H74" s="50">
        <v>300</v>
      </c>
      <c r="I74" s="50">
        <v>300</v>
      </c>
      <c r="J74" s="50">
        <v>300</v>
      </c>
      <c r="K74" s="50">
        <v>300</v>
      </c>
      <c r="L74" s="50">
        <v>300</v>
      </c>
      <c r="M74" s="50">
        <v>300</v>
      </c>
      <c r="N74" s="50">
        <v>300</v>
      </c>
    </row>
    <row r="75" spans="1:14" ht="12.75">
      <c r="A75" s="47"/>
      <c r="B75" s="25" t="s">
        <v>18</v>
      </c>
      <c r="C75" s="50">
        <v>630</v>
      </c>
      <c r="D75" s="50">
        <v>630</v>
      </c>
      <c r="E75" s="50">
        <v>630</v>
      </c>
      <c r="F75" s="50">
        <v>630</v>
      </c>
      <c r="G75" s="50">
        <v>630</v>
      </c>
      <c r="H75" s="50">
        <v>630</v>
      </c>
      <c r="I75" s="50">
        <v>630</v>
      </c>
      <c r="J75" s="50">
        <v>630</v>
      </c>
      <c r="K75" s="50">
        <v>630</v>
      </c>
      <c r="L75" s="50">
        <v>630</v>
      </c>
      <c r="M75" s="50">
        <v>630</v>
      </c>
      <c r="N75" s="50">
        <v>630</v>
      </c>
    </row>
    <row r="76" spans="1:14" ht="13.5" thickBot="1">
      <c r="A76" s="47"/>
      <c r="B76" s="26" t="s">
        <v>19</v>
      </c>
      <c r="C76" s="51">
        <f aca="true" t="shared" si="9" ref="C76:N76">SUM(C71:C75)</f>
        <v>1128</v>
      </c>
      <c r="D76" s="51">
        <f t="shared" si="9"/>
        <v>1128</v>
      </c>
      <c r="E76" s="51">
        <f t="shared" si="9"/>
        <v>1128</v>
      </c>
      <c r="F76" s="51">
        <f t="shared" si="9"/>
        <v>1278</v>
      </c>
      <c r="G76" s="51">
        <f t="shared" si="9"/>
        <v>1278</v>
      </c>
      <c r="H76" s="51">
        <f t="shared" si="9"/>
        <v>1278</v>
      </c>
      <c r="I76" s="51">
        <f t="shared" si="9"/>
        <v>1325</v>
      </c>
      <c r="J76" s="51">
        <f t="shared" si="9"/>
        <v>1325</v>
      </c>
      <c r="K76" s="51">
        <f t="shared" si="9"/>
        <v>1325</v>
      </c>
      <c r="L76" s="51">
        <f t="shared" si="9"/>
        <v>1325</v>
      </c>
      <c r="M76" s="51">
        <f t="shared" si="9"/>
        <v>1325</v>
      </c>
      <c r="N76" s="51">
        <f t="shared" si="9"/>
        <v>1325</v>
      </c>
    </row>
    <row r="77" spans="1:14" ht="29.25" customHeight="1" thickBot="1">
      <c r="A77" s="45" t="s">
        <v>26</v>
      </c>
      <c r="B77" s="27" t="s">
        <v>83</v>
      </c>
      <c r="C77" s="52">
        <f aca="true" t="shared" si="10" ref="C77:H77">+(C71+C72+C73+C74)*0.9+C75*0.95</f>
        <v>1046.7</v>
      </c>
      <c r="D77" s="52">
        <f t="shared" si="10"/>
        <v>1046.7</v>
      </c>
      <c r="E77" s="52">
        <f t="shared" si="10"/>
        <v>1046.7</v>
      </c>
      <c r="F77" s="52">
        <f t="shared" si="10"/>
        <v>1181.7</v>
      </c>
      <c r="G77" s="52">
        <f t="shared" si="10"/>
        <v>1181.7</v>
      </c>
      <c r="H77" s="52">
        <f t="shared" si="10"/>
        <v>1181.7</v>
      </c>
      <c r="I77" s="52">
        <f aca="true" t="shared" si="11" ref="I77:N77">+(I71+I72+I73+I74)*0.9+I75*0.95</f>
        <v>1224</v>
      </c>
      <c r="J77" s="52">
        <f t="shared" si="11"/>
        <v>1224</v>
      </c>
      <c r="K77" s="52">
        <f t="shared" si="11"/>
        <v>1224</v>
      </c>
      <c r="L77" s="52">
        <f t="shared" si="11"/>
        <v>1224</v>
      </c>
      <c r="M77" s="52">
        <f t="shared" si="11"/>
        <v>1224</v>
      </c>
      <c r="N77" s="52">
        <f t="shared" si="11"/>
        <v>1224</v>
      </c>
    </row>
    <row r="78" spans="1:14" ht="13.5" thickBot="1">
      <c r="A78" s="47"/>
      <c r="B78" s="28" t="s">
        <v>20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31.5" customHeight="1">
      <c r="A79" s="47"/>
      <c r="B79" s="29" t="s">
        <v>84</v>
      </c>
      <c r="C79" s="54">
        <v>1918</v>
      </c>
      <c r="D79" s="54">
        <v>1918</v>
      </c>
      <c r="E79" s="54">
        <v>1918</v>
      </c>
      <c r="F79" s="54">
        <v>1918</v>
      </c>
      <c r="G79" s="54">
        <v>1918</v>
      </c>
      <c r="H79" s="54">
        <v>1918</v>
      </c>
      <c r="I79" s="54">
        <v>1918</v>
      </c>
      <c r="J79" s="54">
        <v>1918</v>
      </c>
      <c r="K79" s="54">
        <v>1918</v>
      </c>
      <c r="L79" s="54">
        <v>1918</v>
      </c>
      <c r="M79" s="54">
        <v>1918</v>
      </c>
      <c r="N79" s="54">
        <v>1918</v>
      </c>
    </row>
    <row r="80" spans="1:14" ht="27" customHeight="1" thickBot="1">
      <c r="A80" s="47"/>
      <c r="B80" s="55" t="s">
        <v>85</v>
      </c>
      <c r="C80" s="56">
        <v>230</v>
      </c>
      <c r="D80" s="56">
        <v>254</v>
      </c>
      <c r="E80" s="56">
        <v>0</v>
      </c>
      <c r="F80" s="56">
        <v>230</v>
      </c>
      <c r="G80" s="56">
        <v>254</v>
      </c>
      <c r="H80" s="56">
        <v>0</v>
      </c>
      <c r="I80" s="56">
        <v>230</v>
      </c>
      <c r="J80" s="56">
        <v>254</v>
      </c>
      <c r="K80" s="56">
        <v>0</v>
      </c>
      <c r="L80" s="56">
        <v>230</v>
      </c>
      <c r="M80" s="56">
        <v>254</v>
      </c>
      <c r="N80" s="56">
        <v>0</v>
      </c>
    </row>
    <row r="81" spans="1:14" ht="14.25" customHeight="1" thickBot="1">
      <c r="A81" s="45" t="s">
        <v>27</v>
      </c>
      <c r="B81" s="30" t="s">
        <v>28</v>
      </c>
      <c r="C81" s="53">
        <f aca="true" t="shared" si="12" ref="C81:N81">SUM(C79:C80)</f>
        <v>2148</v>
      </c>
      <c r="D81" s="53">
        <f t="shared" si="12"/>
        <v>2172</v>
      </c>
      <c r="E81" s="53">
        <f t="shared" si="12"/>
        <v>1918</v>
      </c>
      <c r="F81" s="53">
        <f t="shared" si="12"/>
        <v>2148</v>
      </c>
      <c r="G81" s="53">
        <f t="shared" si="12"/>
        <v>2172</v>
      </c>
      <c r="H81" s="53">
        <f t="shared" si="12"/>
        <v>1918</v>
      </c>
      <c r="I81" s="53">
        <f t="shared" si="12"/>
        <v>2148</v>
      </c>
      <c r="J81" s="53">
        <f t="shared" si="12"/>
        <v>2172</v>
      </c>
      <c r="K81" s="53">
        <f t="shared" si="12"/>
        <v>1918</v>
      </c>
      <c r="L81" s="53">
        <f t="shared" si="12"/>
        <v>2148</v>
      </c>
      <c r="M81" s="53">
        <f t="shared" si="12"/>
        <v>2172</v>
      </c>
      <c r="N81" s="53">
        <f t="shared" si="12"/>
        <v>1918</v>
      </c>
    </row>
    <row r="82" spans="1:14" ht="14.25" customHeight="1">
      <c r="A82" s="47"/>
      <c r="B82" s="32" t="s">
        <v>86</v>
      </c>
      <c r="C82" s="5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4.25" customHeight="1">
      <c r="A83" s="47"/>
      <c r="B83" s="91" t="s">
        <v>29</v>
      </c>
      <c r="C83" s="145">
        <f>230*0.92</f>
        <v>211.60000000000002</v>
      </c>
      <c r="D83" s="145">
        <f aca="true" t="shared" si="13" ref="D83:N83">230*0.92</f>
        <v>211.60000000000002</v>
      </c>
      <c r="E83" s="145">
        <f t="shared" si="13"/>
        <v>211.60000000000002</v>
      </c>
      <c r="F83" s="145">
        <f t="shared" si="13"/>
        <v>211.60000000000002</v>
      </c>
      <c r="G83" s="145">
        <f t="shared" si="13"/>
        <v>211.60000000000002</v>
      </c>
      <c r="H83" s="145">
        <f t="shared" si="13"/>
        <v>211.60000000000002</v>
      </c>
      <c r="I83" s="145">
        <f t="shared" si="13"/>
        <v>211.60000000000002</v>
      </c>
      <c r="J83" s="145">
        <f t="shared" si="13"/>
        <v>211.60000000000002</v>
      </c>
      <c r="K83" s="145">
        <f t="shared" si="13"/>
        <v>211.60000000000002</v>
      </c>
      <c r="L83" s="145">
        <f t="shared" si="13"/>
        <v>211.60000000000002</v>
      </c>
      <c r="M83" s="145">
        <f t="shared" si="13"/>
        <v>211.60000000000002</v>
      </c>
      <c r="N83" s="145">
        <f t="shared" si="13"/>
        <v>211.60000000000002</v>
      </c>
    </row>
    <row r="84" spans="1:14" ht="14.25" customHeight="1">
      <c r="A84" s="47"/>
      <c r="B84" s="33" t="s">
        <v>116</v>
      </c>
      <c r="C84" s="204">
        <v>16</v>
      </c>
      <c r="D84" s="204">
        <v>16</v>
      </c>
      <c r="E84" s="204">
        <v>16</v>
      </c>
      <c r="F84" s="204">
        <v>16</v>
      </c>
      <c r="G84" s="204">
        <v>16</v>
      </c>
      <c r="H84" s="204">
        <v>16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</row>
    <row r="85" spans="1:14" ht="14.25" customHeight="1">
      <c r="A85" s="47"/>
      <c r="B85" s="33" t="s">
        <v>117</v>
      </c>
      <c r="C85" s="204">
        <v>38</v>
      </c>
      <c r="D85" s="204">
        <v>38</v>
      </c>
      <c r="E85" s="204">
        <v>38</v>
      </c>
      <c r="F85" s="204">
        <v>0</v>
      </c>
      <c r="G85" s="204">
        <v>0</v>
      </c>
      <c r="H85" s="204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</row>
    <row r="86" spans="1:14" ht="14.25" customHeight="1">
      <c r="A86" s="47"/>
      <c r="B86" s="33" t="s">
        <v>118</v>
      </c>
      <c r="C86" s="204">
        <v>0</v>
      </c>
      <c r="D86" s="204">
        <v>0</v>
      </c>
      <c r="E86" s="204">
        <v>0</v>
      </c>
      <c r="F86" s="204">
        <v>0</v>
      </c>
      <c r="G86" s="204">
        <v>0</v>
      </c>
      <c r="H86" s="204">
        <v>0</v>
      </c>
      <c r="I86" s="59">
        <v>18</v>
      </c>
      <c r="J86" s="59">
        <v>18</v>
      </c>
      <c r="K86" s="59">
        <v>18</v>
      </c>
      <c r="L86" s="59">
        <v>18</v>
      </c>
      <c r="M86" s="59">
        <v>18</v>
      </c>
      <c r="N86" s="59">
        <v>18</v>
      </c>
    </row>
    <row r="87" spans="1:14" ht="14.25" customHeight="1">
      <c r="A87" s="47"/>
      <c r="B87" s="33" t="s">
        <v>119</v>
      </c>
      <c r="C87" s="204">
        <v>96</v>
      </c>
      <c r="D87" s="204">
        <v>96</v>
      </c>
      <c r="E87" s="204">
        <v>96</v>
      </c>
      <c r="F87" s="204">
        <v>96</v>
      </c>
      <c r="G87" s="204">
        <v>96</v>
      </c>
      <c r="H87" s="204">
        <v>96</v>
      </c>
      <c r="I87" s="204">
        <v>96</v>
      </c>
      <c r="J87" s="204">
        <v>96</v>
      </c>
      <c r="K87" s="204">
        <v>96</v>
      </c>
      <c r="L87" s="204">
        <v>96</v>
      </c>
      <c r="M87" s="204">
        <v>96</v>
      </c>
      <c r="N87" s="204">
        <v>96</v>
      </c>
    </row>
    <row r="88" spans="1:14" ht="14.25" customHeight="1">
      <c r="A88" s="47"/>
      <c r="B88" s="33" t="s">
        <v>113</v>
      </c>
      <c r="C88" s="204">
        <v>96</v>
      </c>
      <c r="D88" s="204">
        <v>96</v>
      </c>
      <c r="E88" s="204">
        <v>0</v>
      </c>
      <c r="F88" s="204">
        <v>96</v>
      </c>
      <c r="G88" s="204">
        <v>96</v>
      </c>
      <c r="H88" s="204">
        <v>0</v>
      </c>
      <c r="I88" s="59">
        <f aca="true" t="shared" si="14" ref="I88:N88">80*0.96</f>
        <v>76.8</v>
      </c>
      <c r="J88" s="59">
        <f t="shared" si="14"/>
        <v>76.8</v>
      </c>
      <c r="K88" s="59">
        <f t="shared" si="14"/>
        <v>76.8</v>
      </c>
      <c r="L88" s="59">
        <f t="shared" si="14"/>
        <v>76.8</v>
      </c>
      <c r="M88" s="59">
        <f t="shared" si="14"/>
        <v>76.8</v>
      </c>
      <c r="N88" s="59">
        <f t="shared" si="14"/>
        <v>76.8</v>
      </c>
    </row>
    <row r="89" spans="1:14" ht="14.25" customHeight="1">
      <c r="A89" s="47"/>
      <c r="B89" s="33" t="s">
        <v>106</v>
      </c>
      <c r="C89" s="204">
        <v>0</v>
      </c>
      <c r="D89" s="204">
        <v>0</v>
      </c>
      <c r="E89" s="204">
        <v>0</v>
      </c>
      <c r="F89" s="204">
        <v>0</v>
      </c>
      <c r="G89" s="204">
        <v>0</v>
      </c>
      <c r="H89" s="204">
        <v>0</v>
      </c>
      <c r="I89" s="204">
        <v>92</v>
      </c>
      <c r="J89" s="204">
        <v>92</v>
      </c>
      <c r="K89" s="204">
        <v>92</v>
      </c>
      <c r="L89" s="204">
        <v>92</v>
      </c>
      <c r="M89" s="204">
        <v>92</v>
      </c>
      <c r="N89" s="204">
        <v>92</v>
      </c>
    </row>
    <row r="90" spans="1:14" ht="14.25" customHeight="1">
      <c r="A90" s="47"/>
      <c r="B90" s="33" t="s">
        <v>107</v>
      </c>
      <c r="C90" s="204">
        <v>0</v>
      </c>
      <c r="D90" s="204">
        <v>0</v>
      </c>
      <c r="E90" s="204">
        <v>0</v>
      </c>
      <c r="F90" s="204">
        <v>0</v>
      </c>
      <c r="G90" s="204">
        <v>0</v>
      </c>
      <c r="H90" s="204">
        <v>0</v>
      </c>
      <c r="I90" s="204">
        <v>92</v>
      </c>
      <c r="J90" s="204">
        <v>92</v>
      </c>
      <c r="K90" s="204">
        <v>92</v>
      </c>
      <c r="L90" s="204">
        <v>92</v>
      </c>
      <c r="M90" s="204">
        <v>92</v>
      </c>
      <c r="N90" s="204">
        <v>92</v>
      </c>
    </row>
    <row r="91" spans="1:14" ht="14.25" customHeight="1">
      <c r="A91" s="47"/>
      <c r="B91" s="33" t="s">
        <v>114</v>
      </c>
      <c r="C91" s="59">
        <f aca="true" t="shared" si="15" ref="C91:H91">60*0.96</f>
        <v>57.599999999999994</v>
      </c>
      <c r="D91" s="59">
        <f t="shared" si="15"/>
        <v>57.599999999999994</v>
      </c>
      <c r="E91" s="59">
        <f t="shared" si="15"/>
        <v>57.599999999999994</v>
      </c>
      <c r="F91" s="59">
        <f t="shared" si="15"/>
        <v>57.599999999999994</v>
      </c>
      <c r="G91" s="59">
        <f t="shared" si="15"/>
        <v>57.599999999999994</v>
      </c>
      <c r="H91" s="59">
        <f t="shared" si="15"/>
        <v>57.599999999999994</v>
      </c>
      <c r="I91" s="59">
        <f aca="true" t="shared" si="16" ref="I91:N91">65*0.96</f>
        <v>62.4</v>
      </c>
      <c r="J91" s="59">
        <f t="shared" si="16"/>
        <v>62.4</v>
      </c>
      <c r="K91" s="59">
        <f t="shared" si="16"/>
        <v>62.4</v>
      </c>
      <c r="L91" s="59">
        <f t="shared" si="16"/>
        <v>62.4</v>
      </c>
      <c r="M91" s="59">
        <f t="shared" si="16"/>
        <v>62.4</v>
      </c>
      <c r="N91" s="59">
        <f t="shared" si="16"/>
        <v>62.4</v>
      </c>
    </row>
    <row r="92" spans="1:14" ht="14.25" customHeight="1">
      <c r="A92" s="47"/>
      <c r="B92" s="33" t="s">
        <v>108</v>
      </c>
      <c r="C92" s="204">
        <v>0</v>
      </c>
      <c r="D92" s="204">
        <v>0</v>
      </c>
      <c r="E92" s="204">
        <v>0</v>
      </c>
      <c r="F92" s="204">
        <v>0</v>
      </c>
      <c r="G92" s="204">
        <v>0</v>
      </c>
      <c r="H92" s="204">
        <v>0</v>
      </c>
      <c r="I92" s="59">
        <f aca="true" t="shared" si="17" ref="I92:N92">30*0.92</f>
        <v>27.6</v>
      </c>
      <c r="J92" s="59">
        <f t="shared" si="17"/>
        <v>27.6</v>
      </c>
      <c r="K92" s="59">
        <f t="shared" si="17"/>
        <v>27.6</v>
      </c>
      <c r="L92" s="59">
        <f t="shared" si="17"/>
        <v>27.6</v>
      </c>
      <c r="M92" s="59">
        <f t="shared" si="17"/>
        <v>27.6</v>
      </c>
      <c r="N92" s="59">
        <f t="shared" si="17"/>
        <v>27.6</v>
      </c>
    </row>
    <row r="93" spans="1:14" ht="14.25" customHeight="1">
      <c r="A93" s="47"/>
      <c r="B93" s="33" t="s">
        <v>109</v>
      </c>
      <c r="C93" s="59">
        <v>92</v>
      </c>
      <c r="D93" s="59">
        <v>92</v>
      </c>
      <c r="E93" s="59">
        <v>92</v>
      </c>
      <c r="F93" s="59">
        <v>92</v>
      </c>
      <c r="G93" s="59">
        <v>92</v>
      </c>
      <c r="H93" s="59">
        <v>92</v>
      </c>
      <c r="I93" s="59">
        <v>92</v>
      </c>
      <c r="J93" s="59">
        <v>92</v>
      </c>
      <c r="K93" s="59">
        <v>92</v>
      </c>
      <c r="L93" s="59">
        <v>92</v>
      </c>
      <c r="M93" s="59">
        <v>92</v>
      </c>
      <c r="N93" s="59">
        <v>92</v>
      </c>
    </row>
    <row r="94" spans="1:14" ht="14.25" customHeight="1">
      <c r="A94" s="47"/>
      <c r="B94" s="33" t="s">
        <v>110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f aca="true" t="shared" si="18" ref="I94:N94">87*0.92</f>
        <v>80.04</v>
      </c>
      <c r="J94" s="59">
        <f t="shared" si="18"/>
        <v>80.04</v>
      </c>
      <c r="K94" s="59">
        <f t="shared" si="18"/>
        <v>80.04</v>
      </c>
      <c r="L94" s="59">
        <f t="shared" si="18"/>
        <v>80.04</v>
      </c>
      <c r="M94" s="59">
        <f t="shared" si="18"/>
        <v>80.04</v>
      </c>
      <c r="N94" s="59">
        <f t="shared" si="18"/>
        <v>80.04</v>
      </c>
    </row>
    <row r="95" spans="1:14" ht="14.25" customHeight="1">
      <c r="A95" s="47"/>
      <c r="B95" s="33" t="s">
        <v>105</v>
      </c>
      <c r="C95" s="204">
        <v>0</v>
      </c>
      <c r="D95" s="204">
        <v>0</v>
      </c>
      <c r="E95" s="204">
        <v>0</v>
      </c>
      <c r="F95" s="204">
        <v>0</v>
      </c>
      <c r="G95" s="204">
        <v>0</v>
      </c>
      <c r="H95" s="204">
        <v>0</v>
      </c>
      <c r="I95" s="204">
        <v>92</v>
      </c>
      <c r="J95" s="204">
        <v>92</v>
      </c>
      <c r="K95" s="204">
        <v>92</v>
      </c>
      <c r="L95" s="204">
        <v>92</v>
      </c>
      <c r="M95" s="204">
        <v>92</v>
      </c>
      <c r="N95" s="204">
        <v>92</v>
      </c>
    </row>
    <row r="96" spans="1:14" ht="14.25" customHeight="1">
      <c r="A96" s="47"/>
      <c r="B96" s="33" t="s">
        <v>199</v>
      </c>
      <c r="C96" s="59">
        <v>22</v>
      </c>
      <c r="D96" s="59">
        <v>22</v>
      </c>
      <c r="E96" s="59">
        <v>22</v>
      </c>
      <c r="F96" s="59">
        <v>22</v>
      </c>
      <c r="G96" s="59">
        <v>22</v>
      </c>
      <c r="H96" s="59">
        <v>22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ht="14.25" customHeight="1">
      <c r="A97" s="47"/>
      <c r="B97" s="33" t="s">
        <v>104</v>
      </c>
      <c r="C97" s="204">
        <v>0</v>
      </c>
      <c r="D97" s="204">
        <v>0</v>
      </c>
      <c r="E97" s="204">
        <v>0</v>
      </c>
      <c r="F97" s="204">
        <v>0</v>
      </c>
      <c r="G97" s="204">
        <v>0</v>
      </c>
      <c r="H97" s="204">
        <v>0</v>
      </c>
      <c r="I97" s="204">
        <v>92</v>
      </c>
      <c r="J97" s="204">
        <v>92</v>
      </c>
      <c r="K97" s="204">
        <v>92</v>
      </c>
      <c r="L97" s="204">
        <v>92</v>
      </c>
      <c r="M97" s="204">
        <v>92</v>
      </c>
      <c r="N97" s="204">
        <v>92</v>
      </c>
    </row>
    <row r="98" spans="1:14" ht="13.5" thickBot="1">
      <c r="A98" s="47" t="s">
        <v>30</v>
      </c>
      <c r="B98" s="205" t="s">
        <v>28</v>
      </c>
      <c r="C98" s="59">
        <f aca="true" t="shared" si="19" ref="C98:N98">SUM(C83:C97)</f>
        <v>629.2</v>
      </c>
      <c r="D98" s="59">
        <f t="shared" si="19"/>
        <v>629.2</v>
      </c>
      <c r="E98" s="59">
        <f t="shared" si="19"/>
        <v>533.2</v>
      </c>
      <c r="F98" s="59">
        <f t="shared" si="19"/>
        <v>591.2</v>
      </c>
      <c r="G98" s="59">
        <f t="shared" si="19"/>
        <v>591.2</v>
      </c>
      <c r="H98" s="59">
        <f t="shared" si="19"/>
        <v>495.20000000000005</v>
      </c>
      <c r="I98" s="59">
        <f t="shared" si="19"/>
        <v>1032.44</v>
      </c>
      <c r="J98" s="59">
        <f t="shared" si="19"/>
        <v>1032.44</v>
      </c>
      <c r="K98" s="59">
        <f t="shared" si="19"/>
        <v>1032.44</v>
      </c>
      <c r="L98" s="59">
        <f t="shared" si="19"/>
        <v>1032.44</v>
      </c>
      <c r="M98" s="59">
        <f t="shared" si="19"/>
        <v>1032.44</v>
      </c>
      <c r="N98" s="59">
        <f t="shared" si="19"/>
        <v>1032.44</v>
      </c>
    </row>
    <row r="99" spans="1:14" ht="13.5" thickBot="1">
      <c r="A99" s="206" t="s">
        <v>31</v>
      </c>
      <c r="B99" s="28" t="s">
        <v>32</v>
      </c>
      <c r="C99" s="23">
        <f aca="true" t="shared" si="20" ref="C99:N99">+C77+C81+C98</f>
        <v>3823.8999999999996</v>
      </c>
      <c r="D99" s="207">
        <f t="shared" si="20"/>
        <v>3847.8999999999996</v>
      </c>
      <c r="E99" s="207">
        <f t="shared" si="20"/>
        <v>3497.8999999999996</v>
      </c>
      <c r="F99" s="207">
        <f t="shared" si="20"/>
        <v>3920.8999999999996</v>
      </c>
      <c r="G99" s="207">
        <f t="shared" si="20"/>
        <v>3944.8999999999996</v>
      </c>
      <c r="H99" s="207">
        <f t="shared" si="20"/>
        <v>3594.8999999999996</v>
      </c>
      <c r="I99" s="207">
        <f t="shared" si="20"/>
        <v>4404.4400000000005</v>
      </c>
      <c r="J99" s="207">
        <f t="shared" si="20"/>
        <v>4428.4400000000005</v>
      </c>
      <c r="K99" s="207">
        <f t="shared" si="20"/>
        <v>4174.4400000000005</v>
      </c>
      <c r="L99" s="207">
        <f t="shared" si="20"/>
        <v>4404.4400000000005</v>
      </c>
      <c r="M99" s="207">
        <f t="shared" si="20"/>
        <v>4428.4400000000005</v>
      </c>
      <c r="N99" s="207">
        <f t="shared" si="20"/>
        <v>4174.4400000000005</v>
      </c>
    </row>
    <row r="100" spans="1:14" ht="14.25" customHeight="1" thickBot="1">
      <c r="A100" s="45" t="s">
        <v>33</v>
      </c>
      <c r="B100" s="35" t="s">
        <v>34</v>
      </c>
      <c r="C100" s="109">
        <f aca="true" t="shared" si="21" ref="C100:N100">+C99-C69</f>
        <v>-226.10000000000036</v>
      </c>
      <c r="D100" s="109">
        <f t="shared" si="21"/>
        <v>-202.10000000000036</v>
      </c>
      <c r="E100" s="109">
        <f t="shared" si="21"/>
        <v>-152.10000000000036</v>
      </c>
      <c r="F100" s="109">
        <f t="shared" si="21"/>
        <v>-429.10000000000036</v>
      </c>
      <c r="G100" s="109">
        <f t="shared" si="21"/>
        <v>-255.10000000000036</v>
      </c>
      <c r="H100" s="109">
        <f t="shared" si="21"/>
        <v>-155.10000000000036</v>
      </c>
      <c r="I100" s="71">
        <f t="shared" si="21"/>
        <v>4.440000000000509</v>
      </c>
      <c r="J100" s="71">
        <f t="shared" si="21"/>
        <v>178.4400000000005</v>
      </c>
      <c r="K100" s="71">
        <f t="shared" si="21"/>
        <v>474.4400000000005</v>
      </c>
      <c r="L100" s="109">
        <f t="shared" si="21"/>
        <v>-95.55999999999949</v>
      </c>
      <c r="M100" s="71">
        <f t="shared" si="21"/>
        <v>178.4400000000005</v>
      </c>
      <c r="N100" s="71">
        <f t="shared" si="21"/>
        <v>324.4400000000005</v>
      </c>
    </row>
    <row r="101" spans="1:13" ht="14.25" customHeight="1">
      <c r="A101" s="92"/>
      <c r="B101" s="98" t="s">
        <v>35</v>
      </c>
      <c r="J101" s="93"/>
      <c r="K101" s="1"/>
      <c r="L101" s="93"/>
      <c r="M101" s="93"/>
    </row>
    <row r="102" spans="1:13" s="17" customFormat="1" ht="14.25" customHeight="1">
      <c r="A102" s="213">
        <v>1</v>
      </c>
      <c r="B102" s="17" t="s">
        <v>204</v>
      </c>
      <c r="J102" s="212"/>
      <c r="K102" s="188"/>
      <c r="L102" s="212"/>
      <c r="M102" s="212"/>
    </row>
    <row r="103" spans="1:14" ht="12.75">
      <c r="A103" s="1">
        <v>2</v>
      </c>
      <c r="B103" s="60" t="s">
        <v>89</v>
      </c>
      <c r="J103" s="94"/>
      <c r="K103" s="1"/>
      <c r="L103" s="94"/>
      <c r="M103" s="94"/>
      <c r="N103" s="1"/>
    </row>
    <row r="104" spans="1:14" ht="12.75">
      <c r="A104" s="1">
        <v>3</v>
      </c>
      <c r="B104" s="129" t="s">
        <v>201</v>
      </c>
      <c r="J104" s="94"/>
      <c r="K104" s="1"/>
      <c r="L104" s="94"/>
      <c r="M104" s="94"/>
      <c r="N104" s="1"/>
    </row>
    <row r="105" spans="1:14" ht="12.75">
      <c r="A105" s="105">
        <v>5</v>
      </c>
      <c r="B105" s="129" t="s">
        <v>202</v>
      </c>
      <c r="J105" s="94"/>
      <c r="K105" s="1"/>
      <c r="L105" s="94"/>
      <c r="M105" s="94"/>
      <c r="N105" s="1"/>
    </row>
    <row r="106" spans="2:10" ht="18">
      <c r="B106" s="1"/>
      <c r="C106" s="2" t="s">
        <v>0</v>
      </c>
      <c r="E106" s="1"/>
      <c r="F106" s="1"/>
      <c r="G106" s="1"/>
      <c r="H106" s="1"/>
      <c r="I106" s="1"/>
      <c r="J106" s="1"/>
    </row>
    <row r="107" spans="2:10" ht="18">
      <c r="B107" s="5" t="s">
        <v>195</v>
      </c>
      <c r="D107" s="1"/>
      <c r="E107" s="3"/>
      <c r="F107" s="1"/>
      <c r="G107" s="1"/>
      <c r="I107" s="1"/>
      <c r="J107" s="1"/>
    </row>
    <row r="108" spans="2:13" ht="18.75" customHeight="1" thickBot="1">
      <c r="B108" s="38" t="s">
        <v>1</v>
      </c>
      <c r="C108" s="6"/>
      <c r="D108" s="1"/>
      <c r="E108" s="6"/>
      <c r="F108" s="1"/>
      <c r="G108" s="6"/>
      <c r="H108" s="1"/>
      <c r="I108" s="1"/>
      <c r="J108" s="1"/>
      <c r="L108" s="4"/>
      <c r="M108" s="4" t="s">
        <v>206</v>
      </c>
    </row>
    <row r="109" spans="1:14" ht="16.5" customHeight="1" thickBot="1">
      <c r="A109" s="39"/>
      <c r="B109" s="40"/>
      <c r="C109" s="9"/>
      <c r="D109" s="9"/>
      <c r="E109" s="8" t="s">
        <v>75</v>
      </c>
      <c r="F109" s="9"/>
      <c r="G109" s="9"/>
      <c r="H109" s="10"/>
      <c r="I109" s="7"/>
      <c r="J109" s="9"/>
      <c r="K109" s="8" t="s">
        <v>76</v>
      </c>
      <c r="L109" s="9"/>
      <c r="M109" s="9"/>
      <c r="N109" s="10"/>
    </row>
    <row r="110" spans="1:14" ht="13.5" thickBot="1">
      <c r="A110" s="41" t="s">
        <v>36</v>
      </c>
      <c r="B110" s="42" t="s">
        <v>2</v>
      </c>
      <c r="C110" s="438" t="s">
        <v>3</v>
      </c>
      <c r="D110" s="439"/>
      <c r="E110" s="440"/>
      <c r="F110" s="441" t="s">
        <v>4</v>
      </c>
      <c r="G110" s="442"/>
      <c r="H110" s="443"/>
      <c r="I110" s="441" t="s">
        <v>3</v>
      </c>
      <c r="J110" s="444"/>
      <c r="K110" s="445"/>
      <c r="L110" s="446" t="s">
        <v>4</v>
      </c>
      <c r="M110" s="442"/>
      <c r="N110" s="443"/>
    </row>
    <row r="111" spans="1:14" ht="13.5" thickBot="1">
      <c r="A111" s="43"/>
      <c r="B111" s="11"/>
      <c r="C111" s="12" t="s">
        <v>77</v>
      </c>
      <c r="D111" s="13" t="s">
        <v>78</v>
      </c>
      <c r="E111" s="13" t="s">
        <v>79</v>
      </c>
      <c r="F111" s="12" t="s">
        <v>77</v>
      </c>
      <c r="G111" s="13" t="s">
        <v>78</v>
      </c>
      <c r="H111" s="13" t="s">
        <v>79</v>
      </c>
      <c r="I111" s="12" t="s">
        <v>77</v>
      </c>
      <c r="J111" s="13" t="s">
        <v>78</v>
      </c>
      <c r="K111" s="13" t="s">
        <v>79</v>
      </c>
      <c r="L111" s="12" t="s">
        <v>77</v>
      </c>
      <c r="M111" s="13" t="s">
        <v>78</v>
      </c>
      <c r="N111" s="13" t="s">
        <v>79</v>
      </c>
    </row>
    <row r="112" spans="1:14" ht="24.75" thickBot="1">
      <c r="A112" s="41"/>
      <c r="B112" s="87"/>
      <c r="C112" s="12" t="s">
        <v>80</v>
      </c>
      <c r="D112" s="13" t="s">
        <v>81</v>
      </c>
      <c r="E112" s="13" t="s">
        <v>82</v>
      </c>
      <c r="F112" s="12" t="s">
        <v>80</v>
      </c>
      <c r="G112" s="13" t="s">
        <v>81</v>
      </c>
      <c r="H112" s="13" t="s">
        <v>82</v>
      </c>
      <c r="I112" s="12" t="s">
        <v>80</v>
      </c>
      <c r="J112" s="13" t="s">
        <v>81</v>
      </c>
      <c r="K112" s="13" t="s">
        <v>82</v>
      </c>
      <c r="L112" s="12" t="s">
        <v>80</v>
      </c>
      <c r="M112" s="13" t="s">
        <v>81</v>
      </c>
      <c r="N112" s="13" t="s">
        <v>82</v>
      </c>
    </row>
    <row r="113" spans="1:14" ht="15" customHeight="1">
      <c r="A113" s="41"/>
      <c r="B113" s="15" t="s">
        <v>5</v>
      </c>
      <c r="C113" s="16">
        <v>2780</v>
      </c>
      <c r="D113" s="16">
        <v>2910</v>
      </c>
      <c r="E113" s="88"/>
      <c r="F113" s="16">
        <v>2580</v>
      </c>
      <c r="G113" s="16">
        <v>2690</v>
      </c>
      <c r="H113" s="88"/>
      <c r="I113" s="16">
        <v>2753</v>
      </c>
      <c r="J113" s="16">
        <v>2668</v>
      </c>
      <c r="K113" s="88"/>
      <c r="L113" s="16">
        <v>2643</v>
      </c>
      <c r="M113" s="16">
        <v>2800</v>
      </c>
      <c r="N113" s="88"/>
    </row>
    <row r="114" spans="1:14" ht="15" customHeight="1">
      <c r="A114" s="41"/>
      <c r="B114" s="15" t="s">
        <v>6</v>
      </c>
      <c r="C114" s="16">
        <v>2890</v>
      </c>
      <c r="D114" s="16">
        <v>2914</v>
      </c>
      <c r="E114" s="89"/>
      <c r="F114" s="16">
        <v>2839</v>
      </c>
      <c r="G114" s="16">
        <v>3000</v>
      </c>
      <c r="H114" s="89"/>
      <c r="I114" s="16">
        <v>2807</v>
      </c>
      <c r="J114" s="16">
        <v>2991</v>
      </c>
      <c r="K114" s="89"/>
      <c r="L114" s="16">
        <v>2707</v>
      </c>
      <c r="M114" s="16">
        <v>2933</v>
      </c>
      <c r="N114" s="89"/>
    </row>
    <row r="115" spans="1:14" ht="15" customHeight="1">
      <c r="A115" s="41"/>
      <c r="B115" s="15" t="s">
        <v>7</v>
      </c>
      <c r="C115" s="16">
        <v>3157</v>
      </c>
      <c r="D115" s="16">
        <v>3244</v>
      </c>
      <c r="E115" s="89"/>
      <c r="F115" s="16">
        <v>2943</v>
      </c>
      <c r="G115" s="16">
        <v>3041</v>
      </c>
      <c r="H115" s="89"/>
      <c r="I115" s="16">
        <v>2803</v>
      </c>
      <c r="J115" s="16">
        <v>2914</v>
      </c>
      <c r="K115" s="89"/>
      <c r="L115" s="16">
        <v>2775</v>
      </c>
      <c r="M115" s="16">
        <v>2863</v>
      </c>
      <c r="N115" s="89"/>
    </row>
    <row r="116" spans="1:14" ht="15" customHeight="1">
      <c r="A116" s="41"/>
      <c r="B116" s="15" t="s">
        <v>8</v>
      </c>
      <c r="C116" s="16">
        <v>2955</v>
      </c>
      <c r="D116" s="16">
        <v>3151</v>
      </c>
      <c r="E116" s="89"/>
      <c r="F116" s="16">
        <v>3009</v>
      </c>
      <c r="G116" s="16">
        <v>3240</v>
      </c>
      <c r="H116" s="89"/>
      <c r="I116" s="16">
        <v>2999</v>
      </c>
      <c r="J116" s="16">
        <v>3108</v>
      </c>
      <c r="K116" s="89"/>
      <c r="L116" s="16">
        <v>2837</v>
      </c>
      <c r="M116" s="16">
        <v>3121</v>
      </c>
      <c r="N116" s="89"/>
    </row>
    <row r="117" spans="1:14" ht="15" customHeight="1">
      <c r="A117" s="41"/>
      <c r="B117" s="15" t="s">
        <v>9</v>
      </c>
      <c r="C117" s="16">
        <v>3217</v>
      </c>
      <c r="D117" s="16">
        <v>3280</v>
      </c>
      <c r="E117" s="89"/>
      <c r="F117" s="16">
        <v>3142</v>
      </c>
      <c r="G117" s="16">
        <v>3248</v>
      </c>
      <c r="H117" s="89"/>
      <c r="I117" s="16">
        <v>3127</v>
      </c>
      <c r="J117" s="16">
        <v>3408</v>
      </c>
      <c r="K117" s="89"/>
      <c r="L117" s="16">
        <v>3080</v>
      </c>
      <c r="M117" s="16">
        <v>3277</v>
      </c>
      <c r="N117" s="89"/>
    </row>
    <row r="118" spans="1:14" ht="15" customHeight="1">
      <c r="A118" s="41"/>
      <c r="B118" s="15" t="s">
        <v>10</v>
      </c>
      <c r="C118" s="16">
        <v>3634</v>
      </c>
      <c r="D118" s="16">
        <v>3653</v>
      </c>
      <c r="E118" s="89"/>
      <c r="F118" s="16">
        <v>3524</v>
      </c>
      <c r="G118" s="16">
        <v>3601</v>
      </c>
      <c r="H118" s="89"/>
      <c r="I118" s="16">
        <v>3586</v>
      </c>
      <c r="J118" s="16">
        <v>3722</v>
      </c>
      <c r="K118" s="89"/>
      <c r="L118" s="16">
        <v>3162</v>
      </c>
      <c r="M118" s="16">
        <v>3551</v>
      </c>
      <c r="N118" s="89"/>
    </row>
    <row r="119" spans="1:14" ht="15" customHeight="1">
      <c r="A119" s="41"/>
      <c r="B119" s="15" t="s">
        <v>11</v>
      </c>
      <c r="C119" s="19">
        <v>3584</v>
      </c>
      <c r="D119" s="19">
        <v>3716</v>
      </c>
      <c r="E119" s="89"/>
      <c r="F119" s="19">
        <v>3739</v>
      </c>
      <c r="G119" s="19">
        <v>3888</v>
      </c>
      <c r="H119" s="89"/>
      <c r="I119" s="19">
        <v>3438</v>
      </c>
      <c r="J119" s="19">
        <v>3661</v>
      </c>
      <c r="K119" s="89"/>
      <c r="L119" s="19">
        <v>3492</v>
      </c>
      <c r="M119" s="19">
        <v>3597</v>
      </c>
      <c r="N119" s="89"/>
    </row>
    <row r="120" spans="1:14" ht="15" customHeight="1" thickBot="1">
      <c r="A120" s="41"/>
      <c r="B120" s="44" t="s">
        <v>12</v>
      </c>
      <c r="C120" s="21">
        <v>3745</v>
      </c>
      <c r="D120" s="21">
        <v>3826</v>
      </c>
      <c r="E120" s="90"/>
      <c r="F120" s="21">
        <v>3797</v>
      </c>
      <c r="G120" s="21">
        <v>3903</v>
      </c>
      <c r="H120" s="90"/>
      <c r="I120" s="21">
        <v>3676</v>
      </c>
      <c r="J120" s="21">
        <v>3594</v>
      </c>
      <c r="K120" s="90"/>
      <c r="L120" s="21">
        <v>3475</v>
      </c>
      <c r="M120" s="21">
        <v>3705</v>
      </c>
      <c r="N120" s="90"/>
    </row>
    <row r="121" spans="1:14" ht="15" customHeight="1" thickBot="1">
      <c r="A121" s="43"/>
      <c r="B121" s="20" t="s">
        <v>69</v>
      </c>
      <c r="C121" s="21">
        <v>3782</v>
      </c>
      <c r="D121" s="21">
        <v>3686</v>
      </c>
      <c r="E121" s="21">
        <v>3396</v>
      </c>
      <c r="F121" s="21">
        <v>3827</v>
      </c>
      <c r="G121" s="21">
        <v>3943</v>
      </c>
      <c r="H121" s="21">
        <v>3375</v>
      </c>
      <c r="I121" s="21">
        <v>3863</v>
      </c>
      <c r="J121" s="21">
        <v>3945</v>
      </c>
      <c r="K121" s="21">
        <v>3349</v>
      </c>
      <c r="L121" s="21">
        <v>3612</v>
      </c>
      <c r="M121" s="21">
        <v>3657</v>
      </c>
      <c r="N121" s="21">
        <v>3192</v>
      </c>
    </row>
    <row r="122" spans="1:14" ht="26.25" thickBot="1">
      <c r="A122" s="45"/>
      <c r="B122" s="22" t="s">
        <v>186</v>
      </c>
      <c r="C122" s="46">
        <v>4166</v>
      </c>
      <c r="D122" s="46">
        <v>3976</v>
      </c>
      <c r="E122" s="46">
        <f>+(((((C122-C121)/C121)+(D122-D121)/D121)/2)+1)*E121</f>
        <v>3701.995988652305</v>
      </c>
      <c r="F122" s="46">
        <v>4217</v>
      </c>
      <c r="G122" s="46">
        <v>4337</v>
      </c>
      <c r="H122" s="46">
        <f>+(((((F122-F121)/F121)+(G122-G121)/G121)/2)+1)*H121</f>
        <v>3715.590513060392</v>
      </c>
      <c r="I122" s="46">
        <v>4343</v>
      </c>
      <c r="J122" s="46">
        <v>4413</v>
      </c>
      <c r="K122" s="46">
        <f>+(((((I122-I121)/I121)+(J122-J121)/J121)/2)+1)*K121</f>
        <v>3755.7141784837922</v>
      </c>
      <c r="L122" s="46">
        <v>4009</v>
      </c>
      <c r="M122" s="46">
        <v>3977</v>
      </c>
      <c r="N122" s="46">
        <f>+(((((L122-L121)/L121)+(M122-M121)/M121)/2)+1)*N121</f>
        <v>3507.074059942385</v>
      </c>
    </row>
    <row r="123" spans="1:14" ht="15" customHeight="1" thickBot="1">
      <c r="A123" s="47" t="s">
        <v>25</v>
      </c>
      <c r="B123" s="104" t="s">
        <v>90</v>
      </c>
      <c r="C123" s="107">
        <v>4150</v>
      </c>
      <c r="D123" s="108">
        <v>4000</v>
      </c>
      <c r="E123" s="108">
        <v>3700</v>
      </c>
      <c r="F123" s="108">
        <v>4200</v>
      </c>
      <c r="G123" s="108">
        <v>4350</v>
      </c>
      <c r="H123" s="108">
        <v>3700</v>
      </c>
      <c r="I123" s="108">
        <v>4350</v>
      </c>
      <c r="J123" s="108">
        <v>4400</v>
      </c>
      <c r="K123" s="108">
        <v>3750</v>
      </c>
      <c r="L123" s="108">
        <v>4000</v>
      </c>
      <c r="M123" s="108">
        <v>4000</v>
      </c>
      <c r="N123" s="108">
        <v>3500</v>
      </c>
    </row>
    <row r="124" spans="1:14" ht="12.75">
      <c r="A124" s="47"/>
      <c r="B124" s="24" t="s">
        <v>13</v>
      </c>
      <c r="C124" s="48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ht="12.75">
      <c r="A125" s="47"/>
      <c r="B125" s="25" t="s">
        <v>14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</row>
    <row r="126" spans="1:14" ht="12.75">
      <c r="A126" s="47"/>
      <c r="B126" s="25" t="s">
        <v>15</v>
      </c>
      <c r="C126" s="50">
        <v>95</v>
      </c>
      <c r="D126" s="50">
        <v>95</v>
      </c>
      <c r="E126" s="50">
        <v>95</v>
      </c>
      <c r="F126" s="50">
        <v>95</v>
      </c>
      <c r="G126" s="50">
        <v>95</v>
      </c>
      <c r="H126" s="50">
        <v>95</v>
      </c>
      <c r="I126" s="50">
        <v>95</v>
      </c>
      <c r="J126" s="50">
        <v>95</v>
      </c>
      <c r="K126" s="50">
        <v>95</v>
      </c>
      <c r="L126" s="50">
        <v>95</v>
      </c>
      <c r="M126" s="50">
        <v>95</v>
      </c>
      <c r="N126" s="50">
        <v>95</v>
      </c>
    </row>
    <row r="127" spans="1:14" ht="12.75">
      <c r="A127" s="47"/>
      <c r="B127" s="25" t="s">
        <v>16</v>
      </c>
      <c r="C127" s="50">
        <v>200</v>
      </c>
      <c r="D127" s="50">
        <v>200</v>
      </c>
      <c r="E127" s="50">
        <v>200</v>
      </c>
      <c r="F127" s="50">
        <v>200</v>
      </c>
      <c r="G127" s="50">
        <v>200</v>
      </c>
      <c r="H127" s="50">
        <v>200</v>
      </c>
      <c r="I127" s="50">
        <v>200</v>
      </c>
      <c r="J127" s="50">
        <v>200</v>
      </c>
      <c r="K127" s="50">
        <v>200</v>
      </c>
      <c r="L127" s="50">
        <v>200</v>
      </c>
      <c r="M127" s="50">
        <v>200</v>
      </c>
      <c r="N127" s="50">
        <v>200</v>
      </c>
    </row>
    <row r="128" spans="1:14" ht="12.75">
      <c r="A128" s="47"/>
      <c r="B128" s="25" t="s">
        <v>17</v>
      </c>
      <c r="C128" s="50">
        <v>300</v>
      </c>
      <c r="D128" s="50">
        <v>300</v>
      </c>
      <c r="E128" s="50">
        <v>300</v>
      </c>
      <c r="F128" s="50">
        <v>300</v>
      </c>
      <c r="G128" s="50">
        <v>300</v>
      </c>
      <c r="H128" s="50">
        <v>300</v>
      </c>
      <c r="I128" s="50">
        <v>300</v>
      </c>
      <c r="J128" s="50">
        <v>300</v>
      </c>
      <c r="K128" s="50">
        <v>300</v>
      </c>
      <c r="L128" s="50">
        <v>300</v>
      </c>
      <c r="M128" s="50">
        <v>300</v>
      </c>
      <c r="N128" s="50">
        <v>300</v>
      </c>
    </row>
    <row r="129" spans="1:14" ht="12.75">
      <c r="A129" s="47"/>
      <c r="B129" s="25" t="s">
        <v>18</v>
      </c>
      <c r="C129" s="50">
        <v>550</v>
      </c>
      <c r="D129" s="50">
        <v>550</v>
      </c>
      <c r="E129" s="50">
        <v>550</v>
      </c>
      <c r="F129" s="50">
        <v>550</v>
      </c>
      <c r="G129" s="50">
        <v>550</v>
      </c>
      <c r="H129" s="50">
        <v>550</v>
      </c>
      <c r="I129" s="50">
        <v>550</v>
      </c>
      <c r="J129" s="50">
        <v>550</v>
      </c>
      <c r="K129" s="50">
        <v>550</v>
      </c>
      <c r="L129" s="50">
        <v>550</v>
      </c>
      <c r="M129" s="50">
        <v>550</v>
      </c>
      <c r="N129" s="50">
        <v>550</v>
      </c>
    </row>
    <row r="130" spans="1:14" ht="13.5" thickBot="1">
      <c r="A130" s="47"/>
      <c r="B130" s="26" t="s">
        <v>19</v>
      </c>
      <c r="C130" s="51">
        <f aca="true" t="shared" si="22" ref="C130:N130">SUM(C125:C129)</f>
        <v>1145</v>
      </c>
      <c r="D130" s="51">
        <f t="shared" si="22"/>
        <v>1145</v>
      </c>
      <c r="E130" s="51">
        <f t="shared" si="22"/>
        <v>1145</v>
      </c>
      <c r="F130" s="51">
        <f t="shared" si="22"/>
        <v>1145</v>
      </c>
      <c r="G130" s="51">
        <f t="shared" si="22"/>
        <v>1145</v>
      </c>
      <c r="H130" s="51">
        <f t="shared" si="22"/>
        <v>1145</v>
      </c>
      <c r="I130" s="51">
        <f t="shared" si="22"/>
        <v>1145</v>
      </c>
      <c r="J130" s="51">
        <f t="shared" si="22"/>
        <v>1145</v>
      </c>
      <c r="K130" s="51">
        <f t="shared" si="22"/>
        <v>1145</v>
      </c>
      <c r="L130" s="51">
        <f t="shared" si="22"/>
        <v>1145</v>
      </c>
      <c r="M130" s="51">
        <f t="shared" si="22"/>
        <v>1145</v>
      </c>
      <c r="N130" s="51">
        <f t="shared" si="22"/>
        <v>1145</v>
      </c>
    </row>
    <row r="131" spans="1:14" ht="26.25" thickBot="1">
      <c r="A131" s="45" t="s">
        <v>26</v>
      </c>
      <c r="B131" s="27" t="s">
        <v>83</v>
      </c>
      <c r="C131" s="52">
        <f aca="true" t="shared" si="23" ref="C131:N131">+(C125+C126+C127+C128)*0.9+C129*0.95</f>
        <v>1058</v>
      </c>
      <c r="D131" s="52">
        <f t="shared" si="23"/>
        <v>1058</v>
      </c>
      <c r="E131" s="52">
        <f t="shared" si="23"/>
        <v>1058</v>
      </c>
      <c r="F131" s="52">
        <f t="shared" si="23"/>
        <v>1058</v>
      </c>
      <c r="G131" s="52">
        <f t="shared" si="23"/>
        <v>1058</v>
      </c>
      <c r="H131" s="52">
        <f t="shared" si="23"/>
        <v>1058</v>
      </c>
      <c r="I131" s="52">
        <f t="shared" si="23"/>
        <v>1058</v>
      </c>
      <c r="J131" s="52">
        <f t="shared" si="23"/>
        <v>1058</v>
      </c>
      <c r="K131" s="52">
        <f t="shared" si="23"/>
        <v>1058</v>
      </c>
      <c r="L131" s="52">
        <f t="shared" si="23"/>
        <v>1058</v>
      </c>
      <c r="M131" s="52">
        <f t="shared" si="23"/>
        <v>1058</v>
      </c>
      <c r="N131" s="52">
        <f t="shared" si="23"/>
        <v>1058</v>
      </c>
    </row>
    <row r="132" spans="1:14" ht="13.5" thickBot="1">
      <c r="A132" s="47"/>
      <c r="B132" s="28" t="s">
        <v>20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25.5">
      <c r="A133" s="47"/>
      <c r="B133" s="29" t="s">
        <v>84</v>
      </c>
      <c r="C133" s="54">
        <v>1918</v>
      </c>
      <c r="D133" s="54">
        <v>1918</v>
      </c>
      <c r="E133" s="54">
        <v>1918</v>
      </c>
      <c r="F133" s="54">
        <v>1918</v>
      </c>
      <c r="G133" s="54">
        <v>1918</v>
      </c>
      <c r="H133" s="54">
        <v>1918</v>
      </c>
      <c r="I133" s="54">
        <v>1918</v>
      </c>
      <c r="J133" s="54">
        <v>1918</v>
      </c>
      <c r="K133" s="54">
        <v>1918</v>
      </c>
      <c r="L133" s="54">
        <v>1750</v>
      </c>
      <c r="M133" s="54">
        <v>1750</v>
      </c>
      <c r="N133" s="54">
        <v>1750</v>
      </c>
    </row>
    <row r="134" spans="1:14" ht="27" customHeight="1" thickBot="1">
      <c r="A134" s="47"/>
      <c r="B134" s="55" t="s">
        <v>85</v>
      </c>
      <c r="C134" s="56">
        <v>230</v>
      </c>
      <c r="D134" s="56">
        <v>254</v>
      </c>
      <c r="E134" s="56">
        <v>0</v>
      </c>
      <c r="F134" s="56">
        <v>230</v>
      </c>
      <c r="G134" s="56">
        <v>254</v>
      </c>
      <c r="H134" s="56">
        <v>0</v>
      </c>
      <c r="I134" s="56">
        <v>230</v>
      </c>
      <c r="J134" s="56">
        <v>254</v>
      </c>
      <c r="K134" s="56">
        <v>0</v>
      </c>
      <c r="L134" s="56">
        <v>230</v>
      </c>
      <c r="M134" s="56">
        <v>254</v>
      </c>
      <c r="N134" s="56">
        <v>0</v>
      </c>
    </row>
    <row r="135" spans="1:14" ht="13.5" thickBot="1">
      <c r="A135" s="45" t="s">
        <v>27</v>
      </c>
      <c r="B135" s="30" t="s">
        <v>28</v>
      </c>
      <c r="C135" s="53">
        <f aca="true" t="shared" si="24" ref="C135:N135">SUM(C133:C134)</f>
        <v>2148</v>
      </c>
      <c r="D135" s="53">
        <f t="shared" si="24"/>
        <v>2172</v>
      </c>
      <c r="E135" s="53">
        <f t="shared" si="24"/>
        <v>1918</v>
      </c>
      <c r="F135" s="53">
        <f t="shared" si="24"/>
        <v>2148</v>
      </c>
      <c r="G135" s="53">
        <f t="shared" si="24"/>
        <v>2172</v>
      </c>
      <c r="H135" s="53">
        <f t="shared" si="24"/>
        <v>1918</v>
      </c>
      <c r="I135" s="53">
        <f t="shared" si="24"/>
        <v>2148</v>
      </c>
      <c r="J135" s="53">
        <f t="shared" si="24"/>
        <v>2172</v>
      </c>
      <c r="K135" s="53">
        <f t="shared" si="24"/>
        <v>1918</v>
      </c>
      <c r="L135" s="53">
        <f t="shared" si="24"/>
        <v>1980</v>
      </c>
      <c r="M135" s="53">
        <f t="shared" si="24"/>
        <v>2004</v>
      </c>
      <c r="N135" s="53">
        <f t="shared" si="24"/>
        <v>1750</v>
      </c>
    </row>
    <row r="136" spans="1:14" ht="12.75">
      <c r="A136" s="47"/>
      <c r="B136" s="32" t="s">
        <v>22</v>
      </c>
      <c r="C136" s="54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ht="12.75">
      <c r="A137" s="47"/>
      <c r="B137" s="91" t="s">
        <v>29</v>
      </c>
      <c r="C137" s="145">
        <f>230*0.92</f>
        <v>211.60000000000002</v>
      </c>
      <c r="D137" s="145">
        <f aca="true" t="shared" si="25" ref="D137:N137">230*0.92</f>
        <v>211.60000000000002</v>
      </c>
      <c r="E137" s="145">
        <f t="shared" si="25"/>
        <v>211.60000000000002</v>
      </c>
      <c r="F137" s="145">
        <f t="shared" si="25"/>
        <v>211.60000000000002</v>
      </c>
      <c r="G137" s="145">
        <f t="shared" si="25"/>
        <v>211.60000000000002</v>
      </c>
      <c r="H137" s="145">
        <f t="shared" si="25"/>
        <v>211.60000000000002</v>
      </c>
      <c r="I137" s="145">
        <f t="shared" si="25"/>
        <v>211.60000000000002</v>
      </c>
      <c r="J137" s="145">
        <f t="shared" si="25"/>
        <v>211.60000000000002</v>
      </c>
      <c r="K137" s="145">
        <f t="shared" si="25"/>
        <v>211.60000000000002</v>
      </c>
      <c r="L137" s="145">
        <f t="shared" si="25"/>
        <v>211.60000000000002</v>
      </c>
      <c r="M137" s="145">
        <f t="shared" si="25"/>
        <v>211.60000000000002</v>
      </c>
      <c r="N137" s="145">
        <f t="shared" si="25"/>
        <v>211.60000000000002</v>
      </c>
    </row>
    <row r="138" spans="1:14" ht="14.25" customHeight="1">
      <c r="A138" s="47"/>
      <c r="B138" s="33" t="s">
        <v>118</v>
      </c>
      <c r="C138" s="204">
        <v>18</v>
      </c>
      <c r="D138" s="204">
        <v>18</v>
      </c>
      <c r="E138" s="204">
        <v>18</v>
      </c>
      <c r="F138" s="204">
        <v>18</v>
      </c>
      <c r="G138" s="204">
        <v>18</v>
      </c>
      <c r="H138" s="204">
        <v>18</v>
      </c>
      <c r="I138" s="204">
        <v>18</v>
      </c>
      <c r="J138" s="204">
        <v>18</v>
      </c>
      <c r="K138" s="204">
        <v>18</v>
      </c>
      <c r="L138" s="204">
        <v>18</v>
      </c>
      <c r="M138" s="204">
        <v>18</v>
      </c>
      <c r="N138" s="204">
        <v>18</v>
      </c>
    </row>
    <row r="139" spans="1:14" ht="14.25" customHeight="1">
      <c r="A139" s="47"/>
      <c r="B139" s="33" t="s">
        <v>119</v>
      </c>
      <c r="C139" s="204">
        <v>96</v>
      </c>
      <c r="D139" s="204">
        <v>96</v>
      </c>
      <c r="E139" s="204">
        <v>96</v>
      </c>
      <c r="F139" s="204">
        <v>96</v>
      </c>
      <c r="G139" s="204">
        <v>96</v>
      </c>
      <c r="H139" s="204">
        <v>96</v>
      </c>
      <c r="I139" s="204">
        <v>72</v>
      </c>
      <c r="J139" s="204">
        <v>72</v>
      </c>
      <c r="K139" s="204">
        <v>72</v>
      </c>
      <c r="L139" s="204">
        <v>72</v>
      </c>
      <c r="M139" s="204">
        <v>72</v>
      </c>
      <c r="N139" s="204">
        <v>72</v>
      </c>
    </row>
    <row r="140" spans="1:14" ht="14.25" customHeight="1">
      <c r="A140" s="47"/>
      <c r="B140" s="203" t="s">
        <v>113</v>
      </c>
      <c r="C140" s="59">
        <f aca="true" t="shared" si="26" ref="C140:H140">60*0.96</f>
        <v>57.599999999999994</v>
      </c>
      <c r="D140" s="59">
        <f t="shared" si="26"/>
        <v>57.599999999999994</v>
      </c>
      <c r="E140" s="59">
        <f t="shared" si="26"/>
        <v>57.599999999999994</v>
      </c>
      <c r="F140" s="59">
        <f t="shared" si="26"/>
        <v>57.599999999999994</v>
      </c>
      <c r="G140" s="59">
        <f t="shared" si="26"/>
        <v>57.599999999999994</v>
      </c>
      <c r="H140" s="59">
        <f t="shared" si="26"/>
        <v>57.599999999999994</v>
      </c>
      <c r="I140" s="204">
        <v>0</v>
      </c>
      <c r="J140" s="204">
        <v>0</v>
      </c>
      <c r="K140" s="204">
        <v>0</v>
      </c>
      <c r="L140" s="204">
        <v>0</v>
      </c>
      <c r="M140" s="204">
        <v>0</v>
      </c>
      <c r="N140" s="204">
        <v>0</v>
      </c>
    </row>
    <row r="141" spans="1:14" ht="14.25" customHeight="1">
      <c r="A141" s="47"/>
      <c r="B141" s="33" t="s">
        <v>106</v>
      </c>
      <c r="C141" s="204">
        <v>92</v>
      </c>
      <c r="D141" s="204">
        <v>92</v>
      </c>
      <c r="E141" s="204">
        <v>92</v>
      </c>
      <c r="F141" s="204">
        <v>92</v>
      </c>
      <c r="G141" s="204">
        <v>92</v>
      </c>
      <c r="H141" s="204">
        <v>92</v>
      </c>
      <c r="I141" s="204">
        <v>92</v>
      </c>
      <c r="J141" s="204">
        <v>92</v>
      </c>
      <c r="K141" s="204">
        <v>92</v>
      </c>
      <c r="L141" s="204">
        <v>92</v>
      </c>
      <c r="M141" s="204">
        <v>92</v>
      </c>
      <c r="N141" s="204">
        <v>92</v>
      </c>
    </row>
    <row r="142" spans="1:14" ht="14.25" customHeight="1">
      <c r="A142" s="47"/>
      <c r="B142" s="33" t="s">
        <v>107</v>
      </c>
      <c r="C142" s="204">
        <v>92</v>
      </c>
      <c r="D142" s="204">
        <v>92</v>
      </c>
      <c r="E142" s="204">
        <v>92</v>
      </c>
      <c r="F142" s="204">
        <v>92</v>
      </c>
      <c r="G142" s="204">
        <v>92</v>
      </c>
      <c r="H142" s="204">
        <v>92</v>
      </c>
      <c r="I142" s="204">
        <v>92</v>
      </c>
      <c r="J142" s="204">
        <v>92</v>
      </c>
      <c r="K142" s="204">
        <v>92</v>
      </c>
      <c r="L142" s="204">
        <v>92</v>
      </c>
      <c r="M142" s="204">
        <v>92</v>
      </c>
      <c r="N142" s="204">
        <v>92</v>
      </c>
    </row>
    <row r="143" spans="1:14" ht="14.25" customHeight="1">
      <c r="A143" s="47"/>
      <c r="B143" s="203" t="s">
        <v>112</v>
      </c>
      <c r="C143" s="59">
        <f aca="true" t="shared" si="27" ref="C143:H143">60*0.96</f>
        <v>57.599999999999994</v>
      </c>
      <c r="D143" s="59">
        <f t="shared" si="27"/>
        <v>57.599999999999994</v>
      </c>
      <c r="E143" s="59">
        <f t="shared" si="27"/>
        <v>57.599999999999994</v>
      </c>
      <c r="F143" s="59">
        <f t="shared" si="27"/>
        <v>57.599999999999994</v>
      </c>
      <c r="G143" s="59">
        <f t="shared" si="27"/>
        <v>57.599999999999994</v>
      </c>
      <c r="H143" s="59">
        <f t="shared" si="27"/>
        <v>57.599999999999994</v>
      </c>
      <c r="I143" s="204">
        <v>0</v>
      </c>
      <c r="J143" s="204">
        <v>0</v>
      </c>
      <c r="K143" s="204">
        <v>0</v>
      </c>
      <c r="L143" s="204">
        <v>0</v>
      </c>
      <c r="M143" s="204">
        <v>0</v>
      </c>
      <c r="N143" s="204">
        <v>0</v>
      </c>
    </row>
    <row r="144" spans="1:14" ht="14.25" customHeight="1">
      <c r="A144" s="47"/>
      <c r="B144" s="33" t="s">
        <v>108</v>
      </c>
      <c r="C144" s="59">
        <f>30*0.92</f>
        <v>27.6</v>
      </c>
      <c r="D144" s="59">
        <f aca="true" t="shared" si="28" ref="D144:I144">30*0.92</f>
        <v>27.6</v>
      </c>
      <c r="E144" s="59">
        <f t="shared" si="28"/>
        <v>27.6</v>
      </c>
      <c r="F144" s="59">
        <f t="shared" si="28"/>
        <v>27.6</v>
      </c>
      <c r="G144" s="59">
        <f t="shared" si="28"/>
        <v>27.6</v>
      </c>
      <c r="H144" s="59">
        <f t="shared" si="28"/>
        <v>27.6</v>
      </c>
      <c r="I144" s="59">
        <f t="shared" si="28"/>
        <v>27.6</v>
      </c>
      <c r="J144" s="59">
        <f>30*0.92</f>
        <v>27.6</v>
      </c>
      <c r="K144" s="59">
        <f>30*0.92</f>
        <v>27.6</v>
      </c>
      <c r="L144" s="59">
        <f>30*0.92</f>
        <v>27.6</v>
      </c>
      <c r="M144" s="59">
        <f>30*0.92</f>
        <v>27.6</v>
      </c>
      <c r="N144" s="59">
        <f>30*0.92</f>
        <v>27.6</v>
      </c>
    </row>
    <row r="145" spans="1:14" ht="14.25" customHeight="1">
      <c r="A145" s="47"/>
      <c r="B145" s="33" t="s">
        <v>109</v>
      </c>
      <c r="C145" s="59">
        <v>92</v>
      </c>
      <c r="D145" s="59">
        <v>92</v>
      </c>
      <c r="E145" s="59">
        <v>92</v>
      </c>
      <c r="F145" s="59">
        <v>92</v>
      </c>
      <c r="G145" s="59">
        <v>92</v>
      </c>
      <c r="H145" s="59">
        <v>92</v>
      </c>
      <c r="I145" s="59">
        <v>92</v>
      </c>
      <c r="J145" s="59">
        <v>92</v>
      </c>
      <c r="K145" s="59">
        <v>92</v>
      </c>
      <c r="L145" s="59">
        <v>92</v>
      </c>
      <c r="M145" s="59">
        <v>92</v>
      </c>
      <c r="N145" s="59">
        <v>92</v>
      </c>
    </row>
    <row r="146" spans="1:14" ht="14.25" customHeight="1">
      <c r="A146" s="47"/>
      <c r="B146" s="33" t="s">
        <v>110</v>
      </c>
      <c r="C146" s="59">
        <f aca="true" t="shared" si="29" ref="C146:H146">60*0.92</f>
        <v>55.2</v>
      </c>
      <c r="D146" s="59">
        <f t="shared" si="29"/>
        <v>55.2</v>
      </c>
      <c r="E146" s="59">
        <f t="shared" si="29"/>
        <v>55.2</v>
      </c>
      <c r="F146" s="59">
        <f t="shared" si="29"/>
        <v>55.2</v>
      </c>
      <c r="G146" s="59">
        <f t="shared" si="29"/>
        <v>55.2</v>
      </c>
      <c r="H146" s="59">
        <f t="shared" si="29"/>
        <v>55.2</v>
      </c>
      <c r="I146" s="59">
        <f aca="true" t="shared" si="30" ref="I146:N146">52*0.92</f>
        <v>47.84</v>
      </c>
      <c r="J146" s="59">
        <f t="shared" si="30"/>
        <v>47.84</v>
      </c>
      <c r="K146" s="59">
        <f t="shared" si="30"/>
        <v>47.84</v>
      </c>
      <c r="L146" s="59">
        <f t="shared" si="30"/>
        <v>47.84</v>
      </c>
      <c r="M146" s="59">
        <f t="shared" si="30"/>
        <v>47.84</v>
      </c>
      <c r="N146" s="59">
        <f t="shared" si="30"/>
        <v>47.84</v>
      </c>
    </row>
    <row r="147" spans="1:14" ht="14.25" customHeight="1">
      <c r="A147" s="47"/>
      <c r="B147" s="33" t="s">
        <v>105</v>
      </c>
      <c r="C147" s="204">
        <v>92</v>
      </c>
      <c r="D147" s="204">
        <v>92</v>
      </c>
      <c r="E147" s="204">
        <v>92</v>
      </c>
      <c r="F147" s="204">
        <v>92</v>
      </c>
      <c r="G147" s="204">
        <v>92</v>
      </c>
      <c r="H147" s="204">
        <v>92</v>
      </c>
      <c r="I147" s="204">
        <v>92</v>
      </c>
      <c r="J147" s="204">
        <v>92</v>
      </c>
      <c r="K147" s="204">
        <v>92</v>
      </c>
      <c r="L147" s="204">
        <v>92</v>
      </c>
      <c r="M147" s="204">
        <v>92</v>
      </c>
      <c r="N147" s="204">
        <v>92</v>
      </c>
    </row>
    <row r="148" spans="1:14" ht="14.25" customHeight="1">
      <c r="A148" s="47"/>
      <c r="B148" s="33" t="s">
        <v>104</v>
      </c>
      <c r="C148" s="204">
        <v>92</v>
      </c>
      <c r="D148" s="204">
        <v>92</v>
      </c>
      <c r="E148" s="204">
        <v>92</v>
      </c>
      <c r="F148" s="204">
        <v>92</v>
      </c>
      <c r="G148" s="204">
        <v>92</v>
      </c>
      <c r="H148" s="204">
        <v>92</v>
      </c>
      <c r="I148" s="204">
        <v>92</v>
      </c>
      <c r="J148" s="204">
        <v>92</v>
      </c>
      <c r="K148" s="204">
        <v>92</v>
      </c>
      <c r="L148" s="204">
        <v>92</v>
      </c>
      <c r="M148" s="204">
        <v>92</v>
      </c>
      <c r="N148" s="204">
        <v>92</v>
      </c>
    </row>
    <row r="149" spans="1:14" ht="13.5" thickBot="1">
      <c r="A149" s="45" t="s">
        <v>30</v>
      </c>
      <c r="B149" s="30" t="s">
        <v>28</v>
      </c>
      <c r="C149" s="59">
        <f aca="true" t="shared" si="31" ref="C149:N149">SUM(C137:C148)</f>
        <v>983.6000000000001</v>
      </c>
      <c r="D149" s="59">
        <f t="shared" si="31"/>
        <v>983.6000000000001</v>
      </c>
      <c r="E149" s="59">
        <f t="shared" si="31"/>
        <v>983.6000000000001</v>
      </c>
      <c r="F149" s="59">
        <f t="shared" si="31"/>
        <v>983.6000000000001</v>
      </c>
      <c r="G149" s="59">
        <f t="shared" si="31"/>
        <v>983.6000000000001</v>
      </c>
      <c r="H149" s="59">
        <f t="shared" si="31"/>
        <v>983.6000000000001</v>
      </c>
      <c r="I149" s="59">
        <f t="shared" si="31"/>
        <v>837.0400000000001</v>
      </c>
      <c r="J149" s="59">
        <f t="shared" si="31"/>
        <v>837.0400000000001</v>
      </c>
      <c r="K149" s="59">
        <f t="shared" si="31"/>
        <v>837.0400000000001</v>
      </c>
      <c r="L149" s="59">
        <f t="shared" si="31"/>
        <v>837.0400000000001</v>
      </c>
      <c r="M149" s="59">
        <f t="shared" si="31"/>
        <v>837.0400000000001</v>
      </c>
      <c r="N149" s="59">
        <f t="shared" si="31"/>
        <v>837.0400000000001</v>
      </c>
    </row>
    <row r="150" spans="1:14" ht="13.5" thickBot="1">
      <c r="A150" s="45" t="s">
        <v>31</v>
      </c>
      <c r="B150" s="96" t="s">
        <v>32</v>
      </c>
      <c r="C150" s="59">
        <f aca="true" t="shared" si="32" ref="C150:N150">+C131+C135+C149</f>
        <v>4189.6</v>
      </c>
      <c r="D150" s="58">
        <f t="shared" si="32"/>
        <v>4213.6</v>
      </c>
      <c r="E150" s="58">
        <f t="shared" si="32"/>
        <v>3959.6000000000004</v>
      </c>
      <c r="F150" s="58">
        <f t="shared" si="32"/>
        <v>4189.6</v>
      </c>
      <c r="G150" s="58">
        <f t="shared" si="32"/>
        <v>4213.6</v>
      </c>
      <c r="H150" s="58">
        <f t="shared" si="32"/>
        <v>3959.6000000000004</v>
      </c>
      <c r="I150" s="58">
        <f t="shared" si="32"/>
        <v>4043.04</v>
      </c>
      <c r="J150" s="58">
        <f t="shared" si="32"/>
        <v>4067.04</v>
      </c>
      <c r="K150" s="58">
        <f t="shared" si="32"/>
        <v>3813.04</v>
      </c>
      <c r="L150" s="58">
        <f t="shared" si="32"/>
        <v>3875.04</v>
      </c>
      <c r="M150" s="58">
        <f t="shared" si="32"/>
        <v>3899.04</v>
      </c>
      <c r="N150" s="58">
        <f t="shared" si="32"/>
        <v>3645.04</v>
      </c>
    </row>
    <row r="151" spans="1:14" ht="13.5" customHeight="1" thickBot="1">
      <c r="A151" s="45" t="s">
        <v>33</v>
      </c>
      <c r="B151" s="97" t="s">
        <v>34</v>
      </c>
      <c r="C151" s="71">
        <f aca="true" t="shared" si="33" ref="C151:N151">+C150-C123</f>
        <v>39.600000000000364</v>
      </c>
      <c r="D151" s="71">
        <f t="shared" si="33"/>
        <v>213.60000000000036</v>
      </c>
      <c r="E151" s="71">
        <f t="shared" si="33"/>
        <v>259.60000000000036</v>
      </c>
      <c r="F151" s="71">
        <f t="shared" si="33"/>
        <v>-10.399999999999636</v>
      </c>
      <c r="G151" s="109">
        <f t="shared" si="33"/>
        <v>-136.39999999999964</v>
      </c>
      <c r="H151" s="71">
        <f t="shared" si="33"/>
        <v>259.60000000000036</v>
      </c>
      <c r="I151" s="109">
        <f t="shared" si="33"/>
        <v>-306.96000000000004</v>
      </c>
      <c r="J151" s="109">
        <f t="shared" si="33"/>
        <v>-332.96000000000004</v>
      </c>
      <c r="K151" s="71">
        <f t="shared" si="33"/>
        <v>63.039999999999964</v>
      </c>
      <c r="L151" s="109">
        <f t="shared" si="33"/>
        <v>-124.96000000000004</v>
      </c>
      <c r="M151" s="109">
        <f t="shared" si="33"/>
        <v>-100.96000000000004</v>
      </c>
      <c r="N151" s="71">
        <f t="shared" si="33"/>
        <v>145.03999999999996</v>
      </c>
    </row>
    <row r="152" spans="3:8" ht="12.75">
      <c r="C152" s="94"/>
      <c r="D152" s="94"/>
      <c r="E152" s="94"/>
      <c r="F152" s="94"/>
      <c r="G152" s="94"/>
      <c r="H152" s="94"/>
    </row>
    <row r="153" spans="2:8" ht="12.75">
      <c r="B153" s="98" t="s">
        <v>35</v>
      </c>
      <c r="C153" s="84"/>
      <c r="D153" s="84"/>
      <c r="E153" s="84"/>
      <c r="F153" s="84"/>
      <c r="G153" s="84"/>
      <c r="H153" s="84"/>
    </row>
    <row r="154" spans="1:8" ht="12.75">
      <c r="A154" s="213">
        <v>1</v>
      </c>
      <c r="B154" s="17" t="s">
        <v>204</v>
      </c>
      <c r="C154" s="84"/>
      <c r="D154" s="84"/>
      <c r="E154" s="84"/>
      <c r="F154" s="84"/>
      <c r="G154" s="84"/>
      <c r="H154" s="84"/>
    </row>
    <row r="155" spans="1:10" ht="12" customHeight="1">
      <c r="A155" s="1">
        <v>2</v>
      </c>
      <c r="B155" s="60" t="s">
        <v>89</v>
      </c>
      <c r="C155" s="95"/>
      <c r="D155" s="95"/>
      <c r="E155" s="95"/>
      <c r="F155" s="95"/>
      <c r="G155" s="95"/>
      <c r="H155" s="95"/>
      <c r="J155" s="1"/>
    </row>
    <row r="156" spans="1:10" ht="12" customHeight="1">
      <c r="A156" s="1">
        <v>3</v>
      </c>
      <c r="B156" s="60" t="s">
        <v>207</v>
      </c>
      <c r="C156" s="95"/>
      <c r="D156" s="95"/>
      <c r="E156" s="95"/>
      <c r="F156" s="95"/>
      <c r="G156" s="95"/>
      <c r="H156" s="95"/>
      <c r="J156" s="1"/>
    </row>
    <row r="157" spans="1:14" ht="12.75">
      <c r="A157" s="105">
        <v>4</v>
      </c>
      <c r="B157" s="60" t="s">
        <v>208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05">
        <v>5</v>
      </c>
      <c r="B158" s="37" t="s">
        <v>209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2" ht="12.75">
      <c r="A159" s="105">
        <v>6</v>
      </c>
      <c r="B159" s="37" t="s">
        <v>210</v>
      </c>
    </row>
  </sheetData>
  <mergeCells count="12">
    <mergeCell ref="L56:N56"/>
    <mergeCell ref="L5:N5"/>
    <mergeCell ref="C56:E56"/>
    <mergeCell ref="C5:E5"/>
    <mergeCell ref="F5:H5"/>
    <mergeCell ref="I5:K5"/>
    <mergeCell ref="I56:K56"/>
    <mergeCell ref="F56:H56"/>
    <mergeCell ref="C110:E110"/>
    <mergeCell ref="F110:H110"/>
    <mergeCell ref="I110:K110"/>
    <mergeCell ref="L110:N110"/>
  </mergeCells>
  <printOptions horizontalCentered="1"/>
  <pageMargins left="0.25" right="0" top="0.25" bottom="0" header="0" footer="0"/>
  <pageSetup horizontalDpi="600" verticalDpi="600" orientation="landscape" paperSize="9" scale="67" r:id="rId1"/>
  <rowBreaks count="2" manualBreakCount="2">
    <brk id="51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3"/>
  <sheetViews>
    <sheetView zoomScale="75" zoomScaleNormal="75" workbookViewId="0" topLeftCell="A170">
      <selection activeCell="A66" sqref="A66:N129"/>
    </sheetView>
  </sheetViews>
  <sheetFormatPr defaultColWidth="9.140625" defaultRowHeight="12.75"/>
  <cols>
    <col min="1" max="1" width="6.28125" style="179" customWidth="1"/>
    <col min="2" max="2" width="77.140625" style="179" customWidth="1"/>
    <col min="3" max="4" width="10.7109375" style="179" customWidth="1"/>
    <col min="5" max="5" width="9.8515625" style="179" customWidth="1"/>
    <col min="6" max="6" width="9.57421875" style="179" customWidth="1"/>
    <col min="7" max="7" width="9.8515625" style="179" customWidth="1"/>
    <col min="8" max="8" width="9.421875" style="179" customWidth="1"/>
    <col min="9" max="9" width="9.00390625" style="179" customWidth="1"/>
    <col min="10" max="10" width="9.28125" style="179" customWidth="1"/>
    <col min="11" max="11" width="9.8515625" style="179" customWidth="1"/>
    <col min="12" max="12" width="10.28125" style="179" customWidth="1"/>
    <col min="13" max="13" width="10.00390625" style="179" customWidth="1"/>
    <col min="14" max="14" width="9.421875" style="179" customWidth="1"/>
    <col min="15" max="15" width="7.421875" style="179" customWidth="1"/>
    <col min="16" max="17" width="7.7109375" style="179" customWidth="1"/>
    <col min="18" max="21" width="8.140625" style="179" customWidth="1"/>
    <col min="22" max="22" width="7.57421875" style="179" customWidth="1"/>
    <col min="23" max="23" width="9.140625" style="179" customWidth="1"/>
    <col min="24" max="24" width="10.28125" style="179" customWidth="1"/>
    <col min="25" max="16384" width="9.140625" style="179" customWidth="1"/>
  </cols>
  <sheetData>
    <row r="1" spans="1:5" ht="18">
      <c r="A1" s="178"/>
      <c r="B1" s="110" t="s">
        <v>120</v>
      </c>
      <c r="C1" s="178"/>
      <c r="E1" s="110"/>
    </row>
    <row r="2" ht="6" customHeight="1"/>
    <row r="3" spans="2:3" ht="15.75">
      <c r="B3" s="5" t="s">
        <v>196</v>
      </c>
      <c r="C3" s="65"/>
    </row>
    <row r="4" spans="1:17" ht="12.75">
      <c r="A4" s="66" t="s">
        <v>87</v>
      </c>
      <c r="P4" s="66"/>
      <c r="Q4" s="66"/>
    </row>
    <row r="5" spans="1:17" ht="5.25" customHeight="1">
      <c r="A5" s="66"/>
      <c r="P5" s="66"/>
      <c r="Q5" s="66"/>
    </row>
    <row r="6" spans="1:30" s="68" customFormat="1" ht="15" customHeight="1" thickBot="1">
      <c r="A6" s="67" t="s">
        <v>42</v>
      </c>
      <c r="D6" s="69"/>
      <c r="E6" s="69"/>
      <c r="L6" s="99"/>
      <c r="M6" s="430" t="s">
        <v>211</v>
      </c>
      <c r="S6" s="112"/>
      <c r="T6" s="69"/>
      <c r="U6" s="69"/>
      <c r="AC6" s="4"/>
      <c r="AD6" s="99"/>
    </row>
    <row r="7" spans="1:14" ht="13.5" customHeight="1" thickBot="1">
      <c r="A7" s="113" t="s">
        <v>37</v>
      </c>
      <c r="B7" s="114" t="s">
        <v>38</v>
      </c>
      <c r="C7" s="448" t="s">
        <v>73</v>
      </c>
      <c r="D7" s="449"/>
      <c r="E7" s="449"/>
      <c r="F7" s="449"/>
      <c r="G7" s="449"/>
      <c r="H7" s="450"/>
      <c r="I7" s="454" t="s">
        <v>74</v>
      </c>
      <c r="J7" s="449"/>
      <c r="K7" s="449"/>
      <c r="L7" s="449"/>
      <c r="M7" s="449"/>
      <c r="N7" s="450"/>
    </row>
    <row r="8" spans="1:14" ht="15" customHeight="1" thickBot="1">
      <c r="A8" s="115" t="s">
        <v>39</v>
      </c>
      <c r="B8" s="153"/>
      <c r="C8" s="451" t="s">
        <v>66</v>
      </c>
      <c r="D8" s="452"/>
      <c r="E8" s="453"/>
      <c r="F8" s="451" t="s">
        <v>67</v>
      </c>
      <c r="G8" s="452"/>
      <c r="H8" s="453"/>
      <c r="I8" s="455" t="s">
        <v>68</v>
      </c>
      <c r="J8" s="449"/>
      <c r="K8" s="449"/>
      <c r="L8" s="451" t="s">
        <v>67</v>
      </c>
      <c r="M8" s="449"/>
      <c r="N8" s="450"/>
    </row>
    <row r="9" spans="1:14" ht="15" customHeight="1" thickBot="1">
      <c r="A9" s="115"/>
      <c r="B9" s="153"/>
      <c r="C9" s="12" t="s">
        <v>77</v>
      </c>
      <c r="D9" s="13" t="s">
        <v>78</v>
      </c>
      <c r="E9" s="13" t="s">
        <v>79</v>
      </c>
      <c r="F9" s="12" t="s">
        <v>77</v>
      </c>
      <c r="G9" s="13" t="s">
        <v>78</v>
      </c>
      <c r="H9" s="13" t="s">
        <v>79</v>
      </c>
      <c r="I9" s="195" t="s">
        <v>77</v>
      </c>
      <c r="J9" s="12" t="s">
        <v>78</v>
      </c>
      <c r="K9" s="13" t="s">
        <v>79</v>
      </c>
      <c r="L9" s="12" t="s">
        <v>77</v>
      </c>
      <c r="M9" s="13" t="s">
        <v>78</v>
      </c>
      <c r="N9" s="13" t="s">
        <v>79</v>
      </c>
    </row>
    <row r="10" spans="1:14" ht="15.75" customHeight="1" thickBot="1">
      <c r="A10" s="115"/>
      <c r="B10" s="116"/>
      <c r="C10" s="12" t="s">
        <v>80</v>
      </c>
      <c r="D10" s="13" t="s">
        <v>81</v>
      </c>
      <c r="E10" s="13" t="s">
        <v>82</v>
      </c>
      <c r="F10" s="12" t="s">
        <v>80</v>
      </c>
      <c r="G10" s="13" t="s">
        <v>81</v>
      </c>
      <c r="H10" s="13" t="s">
        <v>82</v>
      </c>
      <c r="I10" s="195" t="s">
        <v>80</v>
      </c>
      <c r="J10" s="12" t="s">
        <v>81</v>
      </c>
      <c r="K10" s="13" t="s">
        <v>82</v>
      </c>
      <c r="L10" s="12" t="s">
        <v>80</v>
      </c>
      <c r="M10" s="13" t="s">
        <v>81</v>
      </c>
      <c r="N10" s="13" t="s">
        <v>82</v>
      </c>
    </row>
    <row r="11" spans="1:14" s="62" customFormat="1" ht="13.5" customHeight="1" thickBot="1">
      <c r="A11" s="70" t="s">
        <v>40</v>
      </c>
      <c r="B11" s="117" t="s">
        <v>115</v>
      </c>
      <c r="C11" s="151">
        <f>+'Delhi SummerApr-Sep'!C18</f>
        <v>3250</v>
      </c>
      <c r="D11" s="147">
        <f>+'Delhi SummerApr-Sep'!D18</f>
        <v>3400</v>
      </c>
      <c r="E11" s="118">
        <f>+'Delhi SummerApr-Sep'!E18</f>
        <v>3000</v>
      </c>
      <c r="F11" s="151">
        <f>+'Delhi SummerApr-Sep'!F18</f>
        <v>3900</v>
      </c>
      <c r="G11" s="147">
        <f>+'Delhi SummerApr-Sep'!G18</f>
        <v>3800</v>
      </c>
      <c r="H11" s="118">
        <f>+'Delhi SummerApr-Sep'!H18</f>
        <v>3400</v>
      </c>
      <c r="I11" s="196">
        <f>+'Delhi SummerApr-Sep'!I18</f>
        <v>3800</v>
      </c>
      <c r="J11" s="151">
        <f>+'Delhi SummerApr-Sep'!J18</f>
        <v>3750</v>
      </c>
      <c r="K11" s="118">
        <f>+'Delhi SummerApr-Sep'!K18</f>
        <v>3300</v>
      </c>
      <c r="L11" s="151">
        <f>+'Delhi SummerApr-Sep'!L18</f>
        <v>3850</v>
      </c>
      <c r="M11" s="147">
        <f>+'Delhi SummerApr-Sep'!M18</f>
        <v>3650</v>
      </c>
      <c r="N11" s="151">
        <f>+'Delhi SummerApr-Sep'!N18</f>
        <v>3350</v>
      </c>
    </row>
    <row r="12" spans="1:14" s="62" customFormat="1" ht="12.75" customHeight="1" thickBot="1">
      <c r="A12" s="72" t="s">
        <v>41</v>
      </c>
      <c r="B12" s="119" t="s">
        <v>65</v>
      </c>
      <c r="C12" s="71">
        <f aca="true" t="shared" si="0" ref="C12:N12">+C11-C47-C53</f>
        <v>2955</v>
      </c>
      <c r="D12" s="79">
        <f t="shared" si="0"/>
        <v>3145</v>
      </c>
      <c r="E12" s="73">
        <f t="shared" si="0"/>
        <v>2792</v>
      </c>
      <c r="F12" s="71">
        <f t="shared" si="0"/>
        <v>3605</v>
      </c>
      <c r="G12" s="79">
        <f t="shared" si="0"/>
        <v>3545</v>
      </c>
      <c r="H12" s="73">
        <f t="shared" si="0"/>
        <v>3192</v>
      </c>
      <c r="I12" s="78">
        <f t="shared" si="0"/>
        <v>3485</v>
      </c>
      <c r="J12" s="71">
        <f t="shared" si="0"/>
        <v>3495</v>
      </c>
      <c r="K12" s="73">
        <f t="shared" si="0"/>
        <v>3092</v>
      </c>
      <c r="L12" s="71">
        <f t="shared" si="0"/>
        <v>3525</v>
      </c>
      <c r="M12" s="79">
        <f t="shared" si="0"/>
        <v>3395</v>
      </c>
      <c r="N12" s="71">
        <f t="shared" si="0"/>
        <v>3130</v>
      </c>
    </row>
    <row r="13" spans="1:14" ht="18.75" customHeight="1" thickBot="1">
      <c r="A13" s="456" t="s">
        <v>43</v>
      </c>
      <c r="B13" s="452"/>
      <c r="C13" s="154"/>
      <c r="D13" s="155"/>
      <c r="E13" s="156"/>
      <c r="F13" s="154"/>
      <c r="G13" s="155"/>
      <c r="H13" s="156"/>
      <c r="I13" s="157"/>
      <c r="J13" s="158"/>
      <c r="K13" s="156"/>
      <c r="L13" s="154"/>
      <c r="M13" s="155"/>
      <c r="N13" s="158"/>
    </row>
    <row r="14" spans="1:14" s="62" customFormat="1" ht="12.75" customHeight="1">
      <c r="A14" s="159" t="s">
        <v>92</v>
      </c>
      <c r="B14" s="160" t="s">
        <v>44</v>
      </c>
      <c r="C14" s="161">
        <f>+(C12*0.2918)</f>
        <v>862.269</v>
      </c>
      <c r="D14" s="162">
        <f aca="true" t="shared" si="1" ref="D14:N14">+(D12*0.2918)</f>
        <v>917.711</v>
      </c>
      <c r="E14" s="163">
        <f t="shared" si="1"/>
        <v>814.7056</v>
      </c>
      <c r="F14" s="161">
        <f t="shared" si="1"/>
        <v>1051.939</v>
      </c>
      <c r="G14" s="162">
        <f t="shared" si="1"/>
        <v>1034.431</v>
      </c>
      <c r="H14" s="163">
        <f t="shared" si="1"/>
        <v>931.4256</v>
      </c>
      <c r="I14" s="197">
        <f t="shared" si="1"/>
        <v>1016.923</v>
      </c>
      <c r="J14" s="161">
        <f t="shared" si="1"/>
        <v>1019.841</v>
      </c>
      <c r="K14" s="163">
        <f t="shared" si="1"/>
        <v>902.2456</v>
      </c>
      <c r="L14" s="161">
        <f t="shared" si="1"/>
        <v>1028.595</v>
      </c>
      <c r="M14" s="162">
        <f t="shared" si="1"/>
        <v>990.6610000000001</v>
      </c>
      <c r="N14" s="161">
        <f t="shared" si="1"/>
        <v>913.3340000000001</v>
      </c>
    </row>
    <row r="15" spans="1:14" ht="12.75" customHeight="1">
      <c r="A15" s="218"/>
      <c r="B15" s="120" t="s">
        <v>45</v>
      </c>
      <c r="C15" s="74"/>
      <c r="D15" s="75"/>
      <c r="E15" s="121"/>
      <c r="F15" s="74"/>
      <c r="G15" s="75"/>
      <c r="H15" s="121"/>
      <c r="I15" s="198"/>
      <c r="J15" s="74"/>
      <c r="K15" s="121"/>
      <c r="L15" s="74"/>
      <c r="M15" s="75"/>
      <c r="N15" s="74"/>
    </row>
    <row r="16" spans="1:14" ht="12.75" customHeight="1">
      <c r="A16" s="218">
        <v>1</v>
      </c>
      <c r="B16" s="122" t="s">
        <v>46</v>
      </c>
      <c r="C16" s="164">
        <f>+('Delhi SummerApr-Sep'!C26+'Delhi SummerApr-Sep'!C30-C17-C30-C39-C50-C54)*0.2918</f>
        <v>785.2162913513885</v>
      </c>
      <c r="D16" s="165">
        <f>+('Delhi SummerApr-Sep'!D26+'Delhi SummerApr-Sep'!D30-D17-D30-D39-D50-D54)*0.2918</f>
        <v>792.2194913513885</v>
      </c>
      <c r="E16" s="166">
        <f>+('Delhi SummerApr-Sep'!E26+'Delhi SummerApr-Sep'!E30-E17-E30-E39-E50-E54)*0.2918</f>
        <v>718.1022913513884</v>
      </c>
      <c r="F16" s="164">
        <f>+('Delhi SummerApr-Sep'!F26+'Delhi SummerApr-Sep'!F30-F17-F30-F39-F50-F54)*0.2918</f>
        <v>815.8999619097367</v>
      </c>
      <c r="G16" s="165">
        <f>+('Delhi SummerApr-Sep'!G26+'Delhi SummerApr-Sep'!G30-G17-G30-G39-G50-G54)*0.2918</f>
        <v>822.9031619097367</v>
      </c>
      <c r="H16" s="166">
        <f>+('Delhi SummerApr-Sep'!H26+'Delhi SummerApr-Sep'!H30-H17-H30-H39-H50-H54)*0.2918</f>
        <v>748.7859619097367</v>
      </c>
      <c r="I16" s="199">
        <f>+('Delhi SummerApr-Sep'!I26+'Delhi SummerApr-Sep'!I30-I17-I30-I39-I50-I54)*0.2918</f>
        <v>801.2828000000001</v>
      </c>
      <c r="J16" s="164">
        <f>+('Delhi SummerApr-Sep'!J26+'Delhi SummerApr-Sep'!J30-J17-J30-J39-J50-J54)*0.2918</f>
        <v>808.2860000000001</v>
      </c>
      <c r="K16" s="166">
        <f>+('Delhi SummerApr-Sep'!K26+'Delhi SummerApr-Sep'!K30-K17-K30-K39-K50-K54)*0.2918</f>
        <v>734.1688</v>
      </c>
      <c r="L16" s="164">
        <f>+('Delhi SummerApr-Sep'!L26+'Delhi SummerApr-Sep'!L30-L17-L30-L39-L50-L54)*0.2918</f>
        <v>767.4782354004734</v>
      </c>
      <c r="M16" s="165">
        <f>+('Delhi SummerApr-Sep'!M26+'Delhi SummerApr-Sep'!M30-M17-M30-M39-M50-M54)*0.2918</f>
        <v>774.4814354004734</v>
      </c>
      <c r="N16" s="164">
        <f>+('Delhi SummerApr-Sep'!N26+'Delhi SummerApr-Sep'!N30-N17-N30-N39-N50-N54)*0.2918</f>
        <v>700.3642354004735</v>
      </c>
    </row>
    <row r="17" spans="1:14" ht="12.75" customHeight="1">
      <c r="A17" s="218">
        <v>2</v>
      </c>
      <c r="B17" s="122" t="s">
        <v>47</v>
      </c>
      <c r="C17" s="76">
        <f>(266*((2393-210-210)/2393))*0.35</f>
        <v>76.75984120351023</v>
      </c>
      <c r="D17" s="148">
        <f>(266*((2393-210-210)/2393))*0.35</f>
        <v>76.75984120351023</v>
      </c>
      <c r="E17" s="123">
        <f>(266*((2393-210-210)/2393))*0.35</f>
        <v>76.75984120351023</v>
      </c>
      <c r="F17" s="76">
        <f>(266*((2393-210)/2393))*0.35</f>
        <v>84.92992060175511</v>
      </c>
      <c r="G17" s="148">
        <f>(266*((2393-210)/2393))*0.35</f>
        <v>84.92992060175511</v>
      </c>
      <c r="H17" s="123">
        <f>(266*((2393-210)/2393))*0.35</f>
        <v>84.92992060175511</v>
      </c>
      <c r="I17" s="200">
        <f>(266*((2393-0)/2393))*0.35</f>
        <v>93.1</v>
      </c>
      <c r="J17" s="76">
        <f>(266*((2393-0)/2393))*0.35</f>
        <v>93.1</v>
      </c>
      <c r="K17" s="123">
        <f>(266*((2393-0)/2393))*0.35</f>
        <v>93.1</v>
      </c>
      <c r="L17" s="76">
        <f>(266*((2393-154)/2393))*0.35</f>
        <v>87.10860844128709</v>
      </c>
      <c r="M17" s="76">
        <f>(266*((2393-154)/2393))*0.35</f>
        <v>87.10860844128709</v>
      </c>
      <c r="N17" s="76">
        <f>(266*((2393-154)/2393))*0.35</f>
        <v>87.10860844128709</v>
      </c>
    </row>
    <row r="18" spans="1:14" ht="12.75" customHeight="1">
      <c r="A18" s="218">
        <v>3</v>
      </c>
      <c r="B18" s="217" t="s">
        <v>102</v>
      </c>
      <c r="C18" s="76">
        <f>'Delhi SummerApr-Sep'!C32*0.2918</f>
        <v>61.74488000000001</v>
      </c>
      <c r="D18" s="148">
        <f>'Delhi SummerApr-Sep'!D32*0.2918</f>
        <v>61.74488000000001</v>
      </c>
      <c r="E18" s="123">
        <f>'Delhi SummerApr-Sep'!E32*0.2918</f>
        <v>61.74488000000001</v>
      </c>
      <c r="F18" s="76">
        <f>'Delhi SummerApr-Sep'!F32*0.2918</f>
        <v>61.74488000000001</v>
      </c>
      <c r="G18" s="148">
        <f>'Delhi SummerApr-Sep'!G32*0.2918</f>
        <v>61.74488000000001</v>
      </c>
      <c r="H18" s="123">
        <f>'Delhi SummerApr-Sep'!H32*0.2918</f>
        <v>61.74488000000001</v>
      </c>
      <c r="I18" s="200">
        <f>'Delhi SummerApr-Sep'!I32*0.2918</f>
        <v>61.74488000000001</v>
      </c>
      <c r="J18" s="76">
        <f>'Delhi SummerApr-Sep'!J32*0.2918</f>
        <v>61.74488000000001</v>
      </c>
      <c r="K18" s="123">
        <f>'Delhi SummerApr-Sep'!K32*0.2918</f>
        <v>61.74488000000001</v>
      </c>
      <c r="L18" s="76">
        <f>'Delhi SummerApr-Sep'!L32*0.2918</f>
        <v>61.74488000000001</v>
      </c>
      <c r="M18" s="148">
        <f>'Delhi SummerApr-Sep'!M32*0.2918</f>
        <v>61.74488000000001</v>
      </c>
      <c r="N18" s="76">
        <f>'Delhi SummerApr-Sep'!N32*0.2918</f>
        <v>61.74488000000001</v>
      </c>
    </row>
    <row r="19" spans="1:14" ht="14.25" customHeight="1">
      <c r="A19" s="216">
        <v>4</v>
      </c>
      <c r="B19" s="215" t="s">
        <v>116</v>
      </c>
      <c r="C19" s="220">
        <v>0</v>
      </c>
      <c r="D19" s="220">
        <v>0</v>
      </c>
      <c r="E19" s="220">
        <v>0</v>
      </c>
      <c r="F19" s="221">
        <v>16</v>
      </c>
      <c r="G19" s="221">
        <v>16</v>
      </c>
      <c r="H19" s="221">
        <v>16</v>
      </c>
      <c r="I19" s="221">
        <v>16</v>
      </c>
      <c r="J19" s="221">
        <v>16</v>
      </c>
      <c r="K19" s="221">
        <v>16</v>
      </c>
      <c r="L19" s="221">
        <v>16</v>
      </c>
      <c r="M19" s="221">
        <v>16</v>
      </c>
      <c r="N19" s="220">
        <v>16</v>
      </c>
    </row>
    <row r="20" spans="1:14" ht="14.25" customHeight="1">
      <c r="A20" s="216">
        <v>5</v>
      </c>
      <c r="B20" s="215" t="s">
        <v>117</v>
      </c>
      <c r="C20" s="220">
        <v>0</v>
      </c>
      <c r="D20" s="220">
        <v>0</v>
      </c>
      <c r="E20" s="220">
        <v>0</v>
      </c>
      <c r="F20" s="221">
        <v>38</v>
      </c>
      <c r="G20" s="221">
        <v>38</v>
      </c>
      <c r="H20" s="221">
        <v>38</v>
      </c>
      <c r="I20" s="221">
        <v>38</v>
      </c>
      <c r="J20" s="221">
        <v>38</v>
      </c>
      <c r="K20" s="221">
        <v>38</v>
      </c>
      <c r="L20" s="221">
        <v>38</v>
      </c>
      <c r="M20" s="221">
        <v>38</v>
      </c>
      <c r="N20" s="220">
        <v>38</v>
      </c>
    </row>
    <row r="21" spans="1:14" ht="14.25" customHeight="1">
      <c r="A21" s="216">
        <v>6</v>
      </c>
      <c r="B21" s="215" t="s">
        <v>119</v>
      </c>
      <c r="C21" s="222">
        <v>0</v>
      </c>
      <c r="D21" s="222">
        <v>0</v>
      </c>
      <c r="E21" s="222">
        <v>-70</v>
      </c>
      <c r="F21" s="223">
        <v>0</v>
      </c>
      <c r="G21" s="223">
        <v>0</v>
      </c>
      <c r="H21" s="223">
        <v>0</v>
      </c>
      <c r="I21" s="223">
        <v>66</v>
      </c>
      <c r="J21" s="223">
        <v>66</v>
      </c>
      <c r="K21" s="223">
        <v>66</v>
      </c>
      <c r="L21" s="223">
        <v>66</v>
      </c>
      <c r="M21" s="223">
        <v>66</v>
      </c>
      <c r="N21" s="222">
        <v>66</v>
      </c>
    </row>
    <row r="22" spans="1:14" ht="14.25" customHeight="1">
      <c r="A22" s="216">
        <v>7</v>
      </c>
      <c r="B22" s="215" t="s">
        <v>205</v>
      </c>
      <c r="C22" s="426">
        <v>96</v>
      </c>
      <c r="D22" s="426">
        <v>96</v>
      </c>
      <c r="E22" s="426">
        <v>96</v>
      </c>
      <c r="F22" s="427">
        <v>96</v>
      </c>
      <c r="G22" s="427">
        <v>96</v>
      </c>
      <c r="H22" s="427">
        <v>96</v>
      </c>
      <c r="I22" s="427">
        <v>0</v>
      </c>
      <c r="J22" s="427">
        <v>0</v>
      </c>
      <c r="K22" s="427">
        <v>0</v>
      </c>
      <c r="L22" s="427">
        <v>0</v>
      </c>
      <c r="M22" s="427">
        <v>0</v>
      </c>
      <c r="N22" s="426">
        <v>0</v>
      </c>
    </row>
    <row r="23" spans="1:14" ht="14.25" customHeight="1">
      <c r="A23" s="216">
        <v>8</v>
      </c>
      <c r="B23" s="215" t="s">
        <v>198</v>
      </c>
      <c r="C23" s="426">
        <f aca="true" t="shared" si="2" ref="C23:H23">60*0.921</f>
        <v>55.260000000000005</v>
      </c>
      <c r="D23" s="426">
        <f t="shared" si="2"/>
        <v>55.260000000000005</v>
      </c>
      <c r="E23" s="426">
        <f t="shared" si="2"/>
        <v>55.260000000000005</v>
      </c>
      <c r="F23" s="426">
        <f t="shared" si="2"/>
        <v>55.260000000000005</v>
      </c>
      <c r="G23" s="426">
        <f t="shared" si="2"/>
        <v>55.260000000000005</v>
      </c>
      <c r="H23" s="426">
        <f t="shared" si="2"/>
        <v>55.260000000000005</v>
      </c>
      <c r="I23" s="427">
        <v>0</v>
      </c>
      <c r="J23" s="427">
        <v>0</v>
      </c>
      <c r="K23" s="427">
        <v>0</v>
      </c>
      <c r="L23" s="427">
        <v>0</v>
      </c>
      <c r="M23" s="427">
        <v>0</v>
      </c>
      <c r="N23" s="426">
        <v>0</v>
      </c>
    </row>
    <row r="24" spans="1:14" s="62" customFormat="1" ht="12.75" customHeight="1" thickBot="1">
      <c r="A24" s="34">
        <v>9</v>
      </c>
      <c r="B24" s="136" t="s">
        <v>49</v>
      </c>
      <c r="C24" s="168">
        <f>SUM(C16:C23)</f>
        <v>1074.9810125548986</v>
      </c>
      <c r="D24" s="168">
        <f aca="true" t="shared" si="3" ref="D24:N24">SUM(D16:D23)</f>
        <v>1081.9842125548987</v>
      </c>
      <c r="E24" s="168">
        <f t="shared" si="3"/>
        <v>937.8670125548986</v>
      </c>
      <c r="F24" s="168">
        <f t="shared" si="3"/>
        <v>1167.8347625114918</v>
      </c>
      <c r="G24" s="168">
        <f t="shared" si="3"/>
        <v>1174.837962511492</v>
      </c>
      <c r="H24" s="168">
        <f t="shared" si="3"/>
        <v>1100.7207625114918</v>
      </c>
      <c r="I24" s="168">
        <f t="shared" si="3"/>
        <v>1076.12768</v>
      </c>
      <c r="J24" s="168">
        <f t="shared" si="3"/>
        <v>1083.1308800000002</v>
      </c>
      <c r="K24" s="168">
        <f t="shared" si="3"/>
        <v>1009.01368</v>
      </c>
      <c r="L24" s="168">
        <f t="shared" si="3"/>
        <v>1036.3317238417603</v>
      </c>
      <c r="M24" s="168">
        <f t="shared" si="3"/>
        <v>1043.3349238417604</v>
      </c>
      <c r="N24" s="168">
        <f t="shared" si="3"/>
        <v>969.2177238417605</v>
      </c>
    </row>
    <row r="25" spans="1:14" ht="12.75" customHeight="1" thickBot="1">
      <c r="A25" s="81"/>
      <c r="B25" s="102" t="s">
        <v>50</v>
      </c>
      <c r="C25" s="71">
        <f>+C24-C14</f>
        <v>212.7120125548986</v>
      </c>
      <c r="D25" s="103">
        <f aca="true" t="shared" si="4" ref="D25:N25">+D24-D14</f>
        <v>164.2732125548987</v>
      </c>
      <c r="E25" s="73">
        <f t="shared" si="4"/>
        <v>123.16141255489856</v>
      </c>
      <c r="F25" s="71">
        <f t="shared" si="4"/>
        <v>115.89576251149174</v>
      </c>
      <c r="G25" s="103">
        <f t="shared" si="4"/>
        <v>140.40696251149188</v>
      </c>
      <c r="H25" s="73">
        <f t="shared" si="4"/>
        <v>169.29516251149175</v>
      </c>
      <c r="I25" s="78">
        <f t="shared" si="4"/>
        <v>59.20468000000005</v>
      </c>
      <c r="J25" s="71">
        <f t="shared" si="4"/>
        <v>63.28988000000015</v>
      </c>
      <c r="K25" s="73">
        <f t="shared" si="4"/>
        <v>106.76808000000005</v>
      </c>
      <c r="L25" s="71">
        <f t="shared" si="4"/>
        <v>7.736723841760295</v>
      </c>
      <c r="M25" s="103">
        <f t="shared" si="4"/>
        <v>52.67392384176037</v>
      </c>
      <c r="N25" s="71">
        <f t="shared" si="4"/>
        <v>55.88372384176046</v>
      </c>
    </row>
    <row r="26" spans="1:23" ht="16.5" customHeight="1" thickBot="1">
      <c r="A26" s="456" t="s">
        <v>54</v>
      </c>
      <c r="B26" s="452"/>
      <c r="C26" s="158"/>
      <c r="D26" s="155"/>
      <c r="E26" s="156"/>
      <c r="F26" s="158"/>
      <c r="G26" s="155"/>
      <c r="H26" s="156"/>
      <c r="I26" s="171"/>
      <c r="J26" s="158"/>
      <c r="K26" s="156"/>
      <c r="L26" s="158"/>
      <c r="M26" s="155"/>
      <c r="N26" s="158"/>
      <c r="W26" s="180"/>
    </row>
    <row r="27" spans="1:14" s="62" customFormat="1" ht="12.75" customHeight="1">
      <c r="A27" s="159" t="s">
        <v>93</v>
      </c>
      <c r="B27" s="160" t="s">
        <v>55</v>
      </c>
      <c r="C27" s="82">
        <f aca="true" t="shared" si="5" ref="C27:N27">+C12*0.2724</f>
        <v>804.9419999999999</v>
      </c>
      <c r="D27" s="149">
        <f t="shared" si="5"/>
        <v>856.698</v>
      </c>
      <c r="E27" s="124">
        <f t="shared" si="5"/>
        <v>760.5407999999999</v>
      </c>
      <c r="F27" s="82">
        <f t="shared" si="5"/>
        <v>982.002</v>
      </c>
      <c r="G27" s="149">
        <f t="shared" si="5"/>
        <v>965.6579999999999</v>
      </c>
      <c r="H27" s="124">
        <f t="shared" si="5"/>
        <v>869.5007999999999</v>
      </c>
      <c r="I27" s="202">
        <f t="shared" si="5"/>
        <v>949.314</v>
      </c>
      <c r="J27" s="82">
        <f t="shared" si="5"/>
        <v>952.0379999999999</v>
      </c>
      <c r="K27" s="124">
        <f t="shared" si="5"/>
        <v>842.2607999999999</v>
      </c>
      <c r="L27" s="82">
        <f t="shared" si="5"/>
        <v>960.2099999999999</v>
      </c>
      <c r="M27" s="149">
        <f t="shared" si="5"/>
        <v>924.7979999999999</v>
      </c>
      <c r="N27" s="82">
        <f t="shared" si="5"/>
        <v>852.612</v>
      </c>
    </row>
    <row r="28" spans="1:14" ht="12.75" customHeight="1">
      <c r="A28" s="61"/>
      <c r="B28" s="120" t="s">
        <v>56</v>
      </c>
      <c r="C28" s="76"/>
      <c r="D28" s="83"/>
      <c r="E28" s="123"/>
      <c r="F28" s="76"/>
      <c r="G28" s="83"/>
      <c r="H28" s="123"/>
      <c r="I28" s="200"/>
      <c r="J28" s="76"/>
      <c r="K28" s="123"/>
      <c r="L28" s="76"/>
      <c r="M28" s="83"/>
      <c r="N28" s="76"/>
    </row>
    <row r="29" spans="1:14" ht="12.75" customHeight="1">
      <c r="A29" s="61">
        <v>1</v>
      </c>
      <c r="B29" s="122" t="s">
        <v>46</v>
      </c>
      <c r="C29" s="76">
        <f>('Delhi SummerApr-Sep'!C26+'Delhi SummerApr-Sep'!C30-C17-C30-C39-C50-C54)*0.2724</f>
        <v>733.0120553945105</v>
      </c>
      <c r="D29" s="148">
        <f>('Delhi SummerApr-Sep'!D26+'Delhi SummerApr-Sep'!D30-D17-D30-D39-D50-D54)*0.2724</f>
        <v>739.5496553945105</v>
      </c>
      <c r="E29" s="123">
        <f>('Delhi SummerApr-Sep'!E26+'Delhi SummerApr-Sep'!E30-E17-E30-E39-E50-E54)*0.2724</f>
        <v>670.3600553945106</v>
      </c>
      <c r="F29" s="76">
        <f>('Delhi SummerApr-Sep'!F26+'Delhi SummerApr-Sep'!F30-F17-F30-F39-F50-F54)*0.2724</f>
        <v>761.6557560802339</v>
      </c>
      <c r="G29" s="148">
        <f>('Delhi SummerApr-Sep'!G26+'Delhi SummerApr-Sep'!G30-G17-G30-G39-G50-G54)*0.2724</f>
        <v>768.1933560802339</v>
      </c>
      <c r="H29" s="123">
        <f>('Delhi SummerApr-Sep'!H26+'Delhi SummerApr-Sep'!H30-H17-H30-H39-H50-H54)*0.2724</f>
        <v>699.0037560802339</v>
      </c>
      <c r="I29" s="200">
        <f>('Delhi SummerApr-Sep'!I26+'Delhi SummerApr-Sep'!I30-I17-I30-I39-I50-I54)*0.2724</f>
        <v>748.0103999999999</v>
      </c>
      <c r="J29" s="76">
        <f>('Delhi SummerApr-Sep'!J26+'Delhi SummerApr-Sep'!J30-J17-J30-J39-J50-J54)*0.2724</f>
        <v>754.5479999999999</v>
      </c>
      <c r="K29" s="123">
        <f>('Delhi SummerApr-Sep'!K26+'Delhi SummerApr-Sep'!K30-K17-K30-K39-K50-K54)*0.2724</f>
        <v>685.3584</v>
      </c>
      <c r="L29" s="76">
        <f>('Delhi SummerApr-Sep'!L26+'Delhi SummerApr-Sep'!L30-L17-L30-L39-L50-L54)*0.2724</f>
        <v>716.4532944588381</v>
      </c>
      <c r="M29" s="148">
        <f>('Delhi SummerApr-Sep'!M26+'Delhi SummerApr-Sep'!M30-M17-M30-M39-M50-M54)*0.2724</f>
        <v>722.990894458838</v>
      </c>
      <c r="N29" s="76">
        <f>('Delhi SummerApr-Sep'!N26+'Delhi SummerApr-Sep'!N30-N17-N30-N39-N50-N54)*0.2724</f>
        <v>653.8012944588381</v>
      </c>
    </row>
    <row r="30" spans="1:14" ht="12.75" customHeight="1">
      <c r="A30" s="61">
        <v>2</v>
      </c>
      <c r="B30" s="122" t="s">
        <v>47</v>
      </c>
      <c r="C30" s="76">
        <f>(266*((2393-210-210)/2393))*0.55</f>
        <v>120.6226076055161</v>
      </c>
      <c r="D30" s="148">
        <f>(266*((2393-210-210)/2393))*0.55</f>
        <v>120.6226076055161</v>
      </c>
      <c r="E30" s="123">
        <f>(266*((2393-210-210)/2393))*0.55</f>
        <v>120.6226076055161</v>
      </c>
      <c r="F30" s="76">
        <f>(266*((2393-210)/2393))*0.55</f>
        <v>133.46130380275807</v>
      </c>
      <c r="G30" s="148">
        <f>(266*((2393-210)/2393))*0.55</f>
        <v>133.46130380275807</v>
      </c>
      <c r="H30" s="123">
        <f>(266*((2393-210)/2393))*0.55</f>
        <v>133.46130380275807</v>
      </c>
      <c r="I30" s="200">
        <f>(266*((2393-0)/2393))*0.55</f>
        <v>146.3</v>
      </c>
      <c r="J30" s="76">
        <f>(266*((2393-0)/2393))*0.55</f>
        <v>146.3</v>
      </c>
      <c r="K30" s="123">
        <f>(266*((2393-0)/2393))*0.55</f>
        <v>146.3</v>
      </c>
      <c r="L30" s="76">
        <f>(266*((2393-154)/2393))*0.55</f>
        <v>136.8849561220226</v>
      </c>
      <c r="M30" s="76">
        <f>(266*((2393-154)/2393))*0.55</f>
        <v>136.8849561220226</v>
      </c>
      <c r="N30" s="76">
        <f>(266*((2393-154)/2393))*0.55</f>
        <v>136.8849561220226</v>
      </c>
    </row>
    <row r="31" spans="1:14" ht="12.75" customHeight="1">
      <c r="A31" s="61">
        <v>3</v>
      </c>
      <c r="B31" s="167" t="s">
        <v>48</v>
      </c>
      <c r="C31" s="76">
        <f>'Delhi SummerApr-Sep'!C32*0.2724</f>
        <v>57.63984</v>
      </c>
      <c r="D31" s="148">
        <f>'Delhi SummerApr-Sep'!D32*0.2724</f>
        <v>57.63984</v>
      </c>
      <c r="E31" s="123">
        <f>'Delhi SummerApr-Sep'!E32*0.2724</f>
        <v>57.63984</v>
      </c>
      <c r="F31" s="76">
        <f>'Delhi SummerApr-Sep'!F32*0.2724</f>
        <v>57.63984</v>
      </c>
      <c r="G31" s="148">
        <f>'Delhi SummerApr-Sep'!G32*0.2724</f>
        <v>57.63984</v>
      </c>
      <c r="H31" s="123">
        <f>'Delhi SummerApr-Sep'!H32*0.2724</f>
        <v>57.63984</v>
      </c>
      <c r="I31" s="200">
        <f>'Delhi SummerApr-Sep'!I32*0.2724</f>
        <v>57.63984</v>
      </c>
      <c r="J31" s="76">
        <f>'Delhi SummerApr-Sep'!J32*0.2724</f>
        <v>57.63984</v>
      </c>
      <c r="K31" s="123">
        <f>'Delhi SummerApr-Sep'!K32*0.2724</f>
        <v>57.63984</v>
      </c>
      <c r="L31" s="76">
        <f>'Delhi SummerApr-Sep'!L32*0.2724</f>
        <v>57.63984</v>
      </c>
      <c r="M31" s="148">
        <f>'Delhi SummerApr-Sep'!M32*0.2724</f>
        <v>57.63984</v>
      </c>
      <c r="N31" s="76">
        <f>'Delhi SummerApr-Sep'!N32*0.2724</f>
        <v>57.63984</v>
      </c>
    </row>
    <row r="32" spans="1:14" ht="14.25" customHeight="1">
      <c r="A32" s="214">
        <v>4</v>
      </c>
      <c r="B32" s="33" t="s">
        <v>113</v>
      </c>
      <c r="C32" s="204">
        <v>0</v>
      </c>
      <c r="D32" s="204">
        <v>0</v>
      </c>
      <c r="E32" s="204">
        <v>0</v>
      </c>
      <c r="F32" s="59">
        <v>0</v>
      </c>
      <c r="G32" s="204">
        <v>0</v>
      </c>
      <c r="H32" s="204">
        <v>0</v>
      </c>
      <c r="I32" s="59">
        <v>96</v>
      </c>
      <c r="J32" s="204">
        <v>96</v>
      </c>
      <c r="K32" s="204">
        <v>96</v>
      </c>
      <c r="L32" s="59">
        <v>96</v>
      </c>
      <c r="M32" s="204">
        <v>96</v>
      </c>
      <c r="N32" s="204">
        <v>96</v>
      </c>
    </row>
    <row r="33" spans="1:14" s="62" customFormat="1" ht="12.75" customHeight="1" thickBot="1">
      <c r="A33" s="34">
        <v>5</v>
      </c>
      <c r="B33" s="136" t="s">
        <v>49</v>
      </c>
      <c r="C33" s="168">
        <f>SUM(C29:C32)</f>
        <v>911.2745030000267</v>
      </c>
      <c r="D33" s="168">
        <f aca="true" t="shared" si="6" ref="D33:N33">SUM(D29:D32)</f>
        <v>917.8121030000267</v>
      </c>
      <c r="E33" s="168">
        <f t="shared" si="6"/>
        <v>848.6225030000268</v>
      </c>
      <c r="F33" s="168">
        <f t="shared" si="6"/>
        <v>952.756899882992</v>
      </c>
      <c r="G33" s="168">
        <f t="shared" si="6"/>
        <v>959.294499882992</v>
      </c>
      <c r="H33" s="168">
        <f t="shared" si="6"/>
        <v>890.104899882992</v>
      </c>
      <c r="I33" s="168">
        <f t="shared" si="6"/>
        <v>1047.95024</v>
      </c>
      <c r="J33" s="168">
        <f t="shared" si="6"/>
        <v>1054.48784</v>
      </c>
      <c r="K33" s="168">
        <f t="shared" si="6"/>
        <v>985.2982400000001</v>
      </c>
      <c r="L33" s="168">
        <f t="shared" si="6"/>
        <v>1006.9780905808607</v>
      </c>
      <c r="M33" s="168">
        <f t="shared" si="6"/>
        <v>1013.5156905808607</v>
      </c>
      <c r="N33" s="168">
        <f t="shared" si="6"/>
        <v>944.3260905808608</v>
      </c>
    </row>
    <row r="34" spans="1:14" s="62" customFormat="1" ht="12.75" customHeight="1" thickBot="1">
      <c r="A34" s="81"/>
      <c r="B34" s="102" t="s">
        <v>94</v>
      </c>
      <c r="C34" s="71">
        <f>+C33-C27</f>
        <v>106.3325030000268</v>
      </c>
      <c r="D34" s="79">
        <f aca="true" t="shared" si="7" ref="D34:N34">+D33-D27</f>
        <v>61.11410300002672</v>
      </c>
      <c r="E34" s="73">
        <f t="shared" si="7"/>
        <v>88.08170300002689</v>
      </c>
      <c r="F34" s="109">
        <f t="shared" si="7"/>
        <v>-29.24510011700795</v>
      </c>
      <c r="G34" s="208">
        <f t="shared" si="7"/>
        <v>-6.363500117007902</v>
      </c>
      <c r="H34" s="73">
        <f t="shared" si="7"/>
        <v>20.604099882992045</v>
      </c>
      <c r="I34" s="78">
        <f t="shared" si="7"/>
        <v>98.63623999999993</v>
      </c>
      <c r="J34" s="71">
        <f t="shared" si="7"/>
        <v>102.44984000000011</v>
      </c>
      <c r="K34" s="73">
        <f t="shared" si="7"/>
        <v>143.03744000000017</v>
      </c>
      <c r="L34" s="71">
        <f t="shared" si="7"/>
        <v>46.76809058086076</v>
      </c>
      <c r="M34" s="79">
        <f t="shared" si="7"/>
        <v>88.71769058086079</v>
      </c>
      <c r="N34" s="71">
        <f t="shared" si="7"/>
        <v>91.71409058086078</v>
      </c>
    </row>
    <row r="35" spans="1:14" ht="15.75" customHeight="1" thickBot="1">
      <c r="A35" s="456" t="s">
        <v>51</v>
      </c>
      <c r="B35" s="457"/>
      <c r="C35" s="71"/>
      <c r="D35" s="79"/>
      <c r="E35" s="73"/>
      <c r="F35" s="71"/>
      <c r="G35" s="79"/>
      <c r="H35" s="73"/>
      <c r="I35" s="78"/>
      <c r="J35" s="71"/>
      <c r="K35" s="73"/>
      <c r="L35" s="71"/>
      <c r="M35" s="79"/>
      <c r="N35" s="71"/>
    </row>
    <row r="36" spans="1:14" s="62" customFormat="1" ht="12.75" customHeight="1">
      <c r="A36" s="172" t="s">
        <v>95</v>
      </c>
      <c r="B36" s="173" t="s">
        <v>52</v>
      </c>
      <c r="C36" s="82">
        <f>+C12*0.4358</f>
        <v>1287.789</v>
      </c>
      <c r="D36" s="149">
        <f aca="true" t="shared" si="8" ref="D36:N36">+D12*0.4358</f>
        <v>1370.5910000000001</v>
      </c>
      <c r="E36" s="124">
        <f t="shared" si="8"/>
        <v>1216.7536</v>
      </c>
      <c r="F36" s="82">
        <f t="shared" si="8"/>
        <v>1571.059</v>
      </c>
      <c r="G36" s="149">
        <f t="shared" si="8"/>
        <v>1544.911</v>
      </c>
      <c r="H36" s="124">
        <f t="shared" si="8"/>
        <v>1391.0736000000002</v>
      </c>
      <c r="I36" s="202">
        <f t="shared" si="8"/>
        <v>1518.7630000000001</v>
      </c>
      <c r="J36" s="82">
        <f t="shared" si="8"/>
        <v>1523.121</v>
      </c>
      <c r="K36" s="124">
        <f t="shared" si="8"/>
        <v>1347.4936</v>
      </c>
      <c r="L36" s="82">
        <f t="shared" si="8"/>
        <v>1536.1950000000002</v>
      </c>
      <c r="M36" s="149">
        <f t="shared" si="8"/>
        <v>1479.5410000000002</v>
      </c>
      <c r="N36" s="82">
        <f t="shared" si="8"/>
        <v>1364.054</v>
      </c>
    </row>
    <row r="37" spans="1:14" ht="12.75" customHeight="1">
      <c r="A37" s="218"/>
      <c r="B37" s="120" t="s">
        <v>53</v>
      </c>
      <c r="C37" s="76"/>
      <c r="D37" s="83"/>
      <c r="E37" s="123"/>
      <c r="F37" s="76"/>
      <c r="G37" s="83"/>
      <c r="H37" s="123"/>
      <c r="I37" s="200"/>
      <c r="J37" s="76"/>
      <c r="K37" s="123"/>
      <c r="L37" s="76"/>
      <c r="M37" s="83"/>
      <c r="N37" s="76"/>
    </row>
    <row r="38" spans="1:14" ht="12.75" customHeight="1">
      <c r="A38" s="218">
        <v>1</v>
      </c>
      <c r="B38" s="122" t="s">
        <v>46</v>
      </c>
      <c r="C38" s="76">
        <f>('Delhi SummerApr-Sep'!C26+'Delhi SummerApr-Sep'!C30-C17-C30-C39-C50-C54)*0.4358</f>
        <v>1172.711651031306</v>
      </c>
      <c r="D38" s="148">
        <f>('Delhi SummerApr-Sep'!D26+'Delhi SummerApr-Sep'!D30-D17-D30-D39-D50-D54)*0.4358</f>
        <v>1183.170851031306</v>
      </c>
      <c r="E38" s="123">
        <f>('Delhi SummerApr-Sep'!E26+'Delhi SummerApr-Sep'!E30-E17-E30-E39-E50-E54)*0.4358</f>
        <v>1072.477651031306</v>
      </c>
      <c r="F38" s="76">
        <f>('Delhi SummerApr-Sep'!F26+'Delhi SummerApr-Sep'!F30-F17-F30-F39-F50-F54)*0.4358</f>
        <v>1218.5373660050145</v>
      </c>
      <c r="G38" s="148">
        <f>('Delhi SummerApr-Sep'!G26+'Delhi SummerApr-Sep'!G30-G17-G30-G39-G50-G54)*0.4358</f>
        <v>1228.9965660050145</v>
      </c>
      <c r="H38" s="123">
        <f>('Delhi SummerApr-Sep'!H26+'Delhi SummerApr-Sep'!H30-H17-H30-H39-H50-H54)*0.4358</f>
        <v>1118.3033660050146</v>
      </c>
      <c r="I38" s="200">
        <f>('Delhi SummerApr-Sep'!I26+'Delhi SummerApr-Sep'!I30-I17-I30-I39-I50-I54)*0.4358</f>
        <v>1196.7068000000002</v>
      </c>
      <c r="J38" s="76">
        <f>('Delhi SummerApr-Sep'!J26+'Delhi SummerApr-Sep'!J30-J17-J30-J39-J50-J54)*0.4358</f>
        <v>1207.1660000000002</v>
      </c>
      <c r="K38" s="123">
        <f>('Delhi SummerApr-Sep'!K26+'Delhi SummerApr-Sep'!K30-K17-K30-K39-K50-K54)*0.4358</f>
        <v>1096.4728</v>
      </c>
      <c r="L38" s="76">
        <f>('Delhi SummerApr-Sep'!L26+'Delhi SummerApr-Sep'!L30-L17-L30-L39-L50-L54)*0.4358</f>
        <v>1146.220065070344</v>
      </c>
      <c r="M38" s="148">
        <f>('Delhi SummerApr-Sep'!M26+'Delhi SummerApr-Sep'!M30-M17-M30-M39-M50-M54)*0.4358</f>
        <v>1156.679265070344</v>
      </c>
      <c r="N38" s="76">
        <f>('Delhi SummerApr-Sep'!N26+'Delhi SummerApr-Sep'!N30-N17-N30-N39-N50-N54)*0.4358</f>
        <v>1045.9860650703438</v>
      </c>
    </row>
    <row r="39" spans="1:14" ht="12.75" customHeight="1">
      <c r="A39" s="218">
        <v>2</v>
      </c>
      <c r="B39" s="122" t="s">
        <v>47</v>
      </c>
      <c r="C39" s="76">
        <f>(266*((2393-210-210)/2393))*0.1+C49</f>
        <v>59.917891137510864</v>
      </c>
      <c r="D39" s="148">
        <f>(266*((2393-210-210)/2393))*0.1+D49</f>
        <v>59.917891137510864</v>
      </c>
      <c r="E39" s="123">
        <f>(266*((2393-210-210)/2393))*0.1+E49</f>
        <v>59.917891137510864</v>
      </c>
      <c r="F39" s="76">
        <f>(266*((2393-210)/2393))*0.1+F49</f>
        <v>67.27442175923163</v>
      </c>
      <c r="G39" s="148">
        <f>(266*((2393-210)/2393))*0.1+G49</f>
        <v>67.27442175923163</v>
      </c>
      <c r="H39" s="123">
        <f>(266*((2393-210)/2393))*0.1+H49</f>
        <v>67.27442175923163</v>
      </c>
      <c r="I39" s="200">
        <f>(266*((2393-0)/2393))*0.1+I49</f>
        <v>73.6</v>
      </c>
      <c r="J39" s="76">
        <f>(266*((2393-0)/2393))*0.1+J49</f>
        <v>73.6</v>
      </c>
      <c r="K39" s="123">
        <f>(266*((2393-0)/2393))*0.1+K49</f>
        <v>73.6</v>
      </c>
      <c r="L39" s="76">
        <f>(266*((2393-154)/2393))*0.1+L49</f>
        <v>65.27335902555294</v>
      </c>
      <c r="M39" s="76">
        <f>(266*((2393-154)/2393))*0.1+M49</f>
        <v>65.27335902555294</v>
      </c>
      <c r="N39" s="76">
        <f>(266*((2393-154)/2393))*0.1+N49</f>
        <v>65.27335902555294</v>
      </c>
    </row>
    <row r="40" spans="1:14" ht="12.75" customHeight="1">
      <c r="A40" s="218">
        <v>3</v>
      </c>
      <c r="B40" s="217" t="s">
        <v>48</v>
      </c>
      <c r="C40" s="76">
        <f>'Delhi SummerApr-Sep'!C32*0.4358</f>
        <v>92.21528000000002</v>
      </c>
      <c r="D40" s="148">
        <f>'Delhi SummerApr-Sep'!D32*0.4358</f>
        <v>92.21528000000002</v>
      </c>
      <c r="E40" s="123">
        <f>'Delhi SummerApr-Sep'!E32*0.4358</f>
        <v>92.21528000000002</v>
      </c>
      <c r="F40" s="76">
        <f>'Delhi SummerApr-Sep'!F32*0.4358</f>
        <v>92.21528000000002</v>
      </c>
      <c r="G40" s="148">
        <f>'Delhi SummerApr-Sep'!G32*0.4358</f>
        <v>92.21528000000002</v>
      </c>
      <c r="H40" s="123">
        <f>'Delhi SummerApr-Sep'!H32*0.4358</f>
        <v>92.21528000000002</v>
      </c>
      <c r="I40" s="200">
        <f>'Delhi SummerApr-Sep'!I32*0.4358</f>
        <v>92.21528000000002</v>
      </c>
      <c r="J40" s="76">
        <f>'Delhi SummerApr-Sep'!J32*0.4358</f>
        <v>92.21528000000002</v>
      </c>
      <c r="K40" s="123">
        <f>'Delhi SummerApr-Sep'!K32*0.4358</f>
        <v>92.21528000000002</v>
      </c>
      <c r="L40" s="76">
        <f>'Delhi SummerApr-Sep'!L32*0.4358</f>
        <v>92.21528000000002</v>
      </c>
      <c r="M40" s="148">
        <f>'Delhi SummerApr-Sep'!M32*0.4358</f>
        <v>92.21528000000002</v>
      </c>
      <c r="N40" s="76">
        <f>'Delhi SummerApr-Sep'!N32*0.4358</f>
        <v>92.21528000000002</v>
      </c>
    </row>
    <row r="41" spans="1:14" ht="14.25" customHeight="1">
      <c r="A41" s="216">
        <v>4</v>
      </c>
      <c r="B41" s="215" t="s">
        <v>111</v>
      </c>
      <c r="C41" s="59">
        <v>92</v>
      </c>
      <c r="D41" s="59">
        <v>92</v>
      </c>
      <c r="E41" s="59">
        <v>92</v>
      </c>
      <c r="F41" s="59">
        <v>92</v>
      </c>
      <c r="G41" s="59">
        <v>92</v>
      </c>
      <c r="H41" s="59">
        <v>92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</row>
    <row r="42" spans="1:14" ht="14.25" customHeight="1">
      <c r="A42" s="216">
        <v>5</v>
      </c>
      <c r="B42" s="215" t="s">
        <v>199</v>
      </c>
      <c r="C42" s="59">
        <v>22</v>
      </c>
      <c r="D42" s="59">
        <v>22</v>
      </c>
      <c r="E42" s="59">
        <v>22</v>
      </c>
      <c r="F42" s="59">
        <v>22</v>
      </c>
      <c r="G42" s="59">
        <v>22</v>
      </c>
      <c r="H42" s="59">
        <v>22</v>
      </c>
      <c r="I42" s="59">
        <v>22</v>
      </c>
      <c r="J42" s="59">
        <v>22</v>
      </c>
      <c r="K42" s="59">
        <v>22</v>
      </c>
      <c r="L42" s="59">
        <v>22</v>
      </c>
      <c r="M42" s="59">
        <v>22</v>
      </c>
      <c r="N42" s="59">
        <v>22</v>
      </c>
    </row>
    <row r="43" spans="1:14" ht="14.25" customHeight="1">
      <c r="A43" s="216">
        <v>6</v>
      </c>
      <c r="B43" s="215" t="s">
        <v>109</v>
      </c>
      <c r="C43" s="59">
        <v>92</v>
      </c>
      <c r="D43" s="59">
        <v>92</v>
      </c>
      <c r="E43" s="59">
        <v>92</v>
      </c>
      <c r="F43" s="59">
        <v>92</v>
      </c>
      <c r="G43" s="59">
        <v>92</v>
      </c>
      <c r="H43" s="59">
        <v>92</v>
      </c>
      <c r="I43" s="59">
        <v>92</v>
      </c>
      <c r="J43" s="59">
        <v>92</v>
      </c>
      <c r="K43" s="59">
        <v>92</v>
      </c>
      <c r="L43" s="59">
        <v>92</v>
      </c>
      <c r="M43" s="59">
        <v>92</v>
      </c>
      <c r="N43" s="59">
        <v>92</v>
      </c>
    </row>
    <row r="44" spans="1:14" s="62" customFormat="1" ht="12.75" customHeight="1" thickBot="1">
      <c r="A44" s="34">
        <v>7</v>
      </c>
      <c r="B44" s="136" t="s">
        <v>49</v>
      </c>
      <c r="C44" s="168">
        <f>SUM(C38:C43)</f>
        <v>1530.844822168817</v>
      </c>
      <c r="D44" s="168">
        <f aca="true" t="shared" si="9" ref="D44:N44">SUM(D38:D43)</f>
        <v>1541.304022168817</v>
      </c>
      <c r="E44" s="168">
        <f t="shared" si="9"/>
        <v>1430.610822168817</v>
      </c>
      <c r="F44" s="168">
        <f t="shared" si="9"/>
        <v>1584.0270677642463</v>
      </c>
      <c r="G44" s="168">
        <f t="shared" si="9"/>
        <v>1594.4862677642463</v>
      </c>
      <c r="H44" s="168">
        <f t="shared" si="9"/>
        <v>1483.7930677642464</v>
      </c>
      <c r="I44" s="168">
        <f t="shared" si="9"/>
        <v>1476.5220800000002</v>
      </c>
      <c r="J44" s="168">
        <f t="shared" si="9"/>
        <v>1486.9812800000002</v>
      </c>
      <c r="K44" s="168">
        <f t="shared" si="9"/>
        <v>1376.28808</v>
      </c>
      <c r="L44" s="168">
        <f t="shared" si="9"/>
        <v>1417.708704095897</v>
      </c>
      <c r="M44" s="168">
        <f t="shared" si="9"/>
        <v>1428.167904095897</v>
      </c>
      <c r="N44" s="168">
        <f t="shared" si="9"/>
        <v>1317.4747040958969</v>
      </c>
    </row>
    <row r="45" spans="1:14" ht="12.75" customHeight="1" thickBot="1">
      <c r="A45" s="81"/>
      <c r="B45" s="125" t="s">
        <v>96</v>
      </c>
      <c r="C45" s="71">
        <f aca="true" t="shared" si="10" ref="C45:N45">+C44-C36</f>
        <v>243.05582216881703</v>
      </c>
      <c r="D45" s="79">
        <f t="shared" si="10"/>
        <v>170.7130221688169</v>
      </c>
      <c r="E45" s="73">
        <f t="shared" si="10"/>
        <v>213.8572221688171</v>
      </c>
      <c r="F45" s="71">
        <f t="shared" si="10"/>
        <v>12.96806776424637</v>
      </c>
      <c r="G45" s="79">
        <f t="shared" si="10"/>
        <v>49.57526776424629</v>
      </c>
      <c r="H45" s="73">
        <f t="shared" si="10"/>
        <v>92.71946776424625</v>
      </c>
      <c r="I45" s="211">
        <f t="shared" si="10"/>
        <v>-42.24091999999996</v>
      </c>
      <c r="J45" s="109">
        <f t="shared" si="10"/>
        <v>-36.1397199999999</v>
      </c>
      <c r="K45" s="73">
        <f t="shared" si="10"/>
        <v>28.79448000000002</v>
      </c>
      <c r="L45" s="109">
        <f t="shared" si="10"/>
        <v>-118.48629590410314</v>
      </c>
      <c r="M45" s="208">
        <f t="shared" si="10"/>
        <v>-51.37309590410314</v>
      </c>
      <c r="N45" s="109">
        <f t="shared" si="10"/>
        <v>-46.57929590410322</v>
      </c>
    </row>
    <row r="46" spans="1:14" ht="16.5" customHeight="1" thickBot="1">
      <c r="A46" s="458" t="s">
        <v>57</v>
      </c>
      <c r="B46" s="459"/>
      <c r="C46" s="71"/>
      <c r="D46" s="79"/>
      <c r="E46" s="73"/>
      <c r="F46" s="71"/>
      <c r="G46" s="79"/>
      <c r="H46" s="73"/>
      <c r="I46" s="78"/>
      <c r="J46" s="71"/>
      <c r="K46" s="73"/>
      <c r="L46" s="71"/>
      <c r="M46" s="79"/>
      <c r="N46" s="71"/>
    </row>
    <row r="47" spans="1:14" s="62" customFormat="1" ht="12.75" customHeight="1">
      <c r="A47" s="172" t="s">
        <v>97</v>
      </c>
      <c r="B47" s="173" t="s">
        <v>58</v>
      </c>
      <c r="C47" s="161">
        <v>260</v>
      </c>
      <c r="D47" s="174">
        <v>220</v>
      </c>
      <c r="E47" s="163">
        <v>180</v>
      </c>
      <c r="F47" s="161">
        <v>260</v>
      </c>
      <c r="G47" s="174">
        <v>220</v>
      </c>
      <c r="H47" s="163">
        <v>180</v>
      </c>
      <c r="I47" s="197">
        <v>280</v>
      </c>
      <c r="J47" s="161">
        <v>220</v>
      </c>
      <c r="K47" s="163">
        <v>180</v>
      </c>
      <c r="L47" s="161">
        <v>290</v>
      </c>
      <c r="M47" s="174">
        <v>220</v>
      </c>
      <c r="N47" s="161">
        <v>190</v>
      </c>
    </row>
    <row r="48" spans="1:14" ht="12.75" customHeight="1">
      <c r="A48" s="61"/>
      <c r="B48" s="122" t="s">
        <v>88</v>
      </c>
      <c r="C48" s="76">
        <f>+(((113*((705-210)/705)+(107*((840-210)/840))+(95*((330-0)/330)))))</f>
        <v>254.5904255319149</v>
      </c>
      <c r="D48" s="148">
        <f>+(((113*((705-210)/705)+(107*((840-210)/840))+(95*((330-0)/330)))))</f>
        <v>254.5904255319149</v>
      </c>
      <c r="E48" s="123">
        <f>+(((113*((705-210)/705)+(107*((840-210)/840))+(95*((330-0)/330)))))</f>
        <v>254.5904255319149</v>
      </c>
      <c r="F48" s="76">
        <f>+(((113*((705-0)/705)+(107*((840-210)/840))+(95*((330-0)/330)))))</f>
        <v>288.25</v>
      </c>
      <c r="G48" s="148">
        <f>+(((113*((705-0)/705)+(107*((840-210)/840))+(95*((330-0)/330)))))</f>
        <v>288.25</v>
      </c>
      <c r="H48" s="123">
        <f>+(((113*((705-0)/705)+(107*((840-210)/840))+(95*((330-0)/330)))))</f>
        <v>288.25</v>
      </c>
      <c r="I48" s="200">
        <f>+(((113*((705-0)/705)+(107*((840-0)/840))+(95*((330-0)/330)))))</f>
        <v>315</v>
      </c>
      <c r="J48" s="76">
        <f>+(((113*((705-0)/705)+(107*((840-0)/840))+(95*((330-0)/330)))))</f>
        <v>315</v>
      </c>
      <c r="K48" s="123">
        <f>+(((113*((705-0)/705)+(107*((840-0)/840))+(95*((330-0)/330)))))</f>
        <v>315</v>
      </c>
      <c r="L48" s="76">
        <f>+(((113*((705-0)/705)+(107*((840-0)/840))+(95*((330-154)/330)))))</f>
        <v>270.6666666666667</v>
      </c>
      <c r="M48" s="76">
        <f>+(((113*((705-0)/705)+(107*((840-0)/840))+(95*((330-154)/330)))))</f>
        <v>270.6666666666667</v>
      </c>
      <c r="N48" s="76">
        <f>+(((113*((705-0)/705)+(107*((840-0)/840))+(95*((330-154)/330)))))</f>
        <v>270.6666666666667</v>
      </c>
    </row>
    <row r="49" spans="1:14" ht="12.75" customHeight="1">
      <c r="A49" s="80"/>
      <c r="B49" s="126" t="s">
        <v>98</v>
      </c>
      <c r="C49" s="76">
        <f aca="true" t="shared" si="11" ref="C49:N49">47*C48/315</f>
        <v>37.986507936507934</v>
      </c>
      <c r="D49" s="83">
        <f t="shared" si="11"/>
        <v>37.986507936507934</v>
      </c>
      <c r="E49" s="123">
        <f t="shared" si="11"/>
        <v>37.986507936507934</v>
      </c>
      <c r="F49" s="76">
        <f t="shared" si="11"/>
        <v>43.00873015873016</v>
      </c>
      <c r="G49" s="83">
        <f t="shared" si="11"/>
        <v>43.00873015873016</v>
      </c>
      <c r="H49" s="123">
        <f t="shared" si="11"/>
        <v>43.00873015873016</v>
      </c>
      <c r="I49" s="200">
        <f t="shared" si="11"/>
        <v>47</v>
      </c>
      <c r="J49" s="76">
        <f t="shared" si="11"/>
        <v>47</v>
      </c>
      <c r="K49" s="123">
        <f t="shared" si="11"/>
        <v>47</v>
      </c>
      <c r="L49" s="76">
        <f t="shared" si="11"/>
        <v>40.385185185185186</v>
      </c>
      <c r="M49" s="83">
        <f t="shared" si="11"/>
        <v>40.385185185185186</v>
      </c>
      <c r="N49" s="76">
        <f t="shared" si="11"/>
        <v>40.385185185185186</v>
      </c>
    </row>
    <row r="50" spans="1:14" s="62" customFormat="1" ht="12.75" customHeight="1" thickBot="1">
      <c r="A50" s="34"/>
      <c r="B50" s="136" t="s">
        <v>99</v>
      </c>
      <c r="C50" s="168">
        <f aca="true" t="shared" si="12" ref="C50:N50">+C48-C49</f>
        <v>216.60391759540695</v>
      </c>
      <c r="D50" s="169">
        <f t="shared" si="12"/>
        <v>216.60391759540695</v>
      </c>
      <c r="E50" s="170">
        <f t="shared" si="12"/>
        <v>216.60391759540695</v>
      </c>
      <c r="F50" s="168">
        <f t="shared" si="12"/>
        <v>245.24126984126985</v>
      </c>
      <c r="G50" s="169">
        <f t="shared" si="12"/>
        <v>245.24126984126985</v>
      </c>
      <c r="H50" s="170">
        <f t="shared" si="12"/>
        <v>245.24126984126985</v>
      </c>
      <c r="I50" s="201">
        <f t="shared" si="12"/>
        <v>268</v>
      </c>
      <c r="J50" s="168">
        <f t="shared" si="12"/>
        <v>268</v>
      </c>
      <c r="K50" s="170">
        <f t="shared" si="12"/>
        <v>268</v>
      </c>
      <c r="L50" s="168">
        <f t="shared" si="12"/>
        <v>230.2814814814815</v>
      </c>
      <c r="M50" s="169">
        <f t="shared" si="12"/>
        <v>230.2814814814815</v>
      </c>
      <c r="N50" s="168">
        <f t="shared" si="12"/>
        <v>230.2814814814815</v>
      </c>
    </row>
    <row r="51" spans="1:14" ht="12.75" customHeight="1" thickBot="1">
      <c r="A51" s="81"/>
      <c r="B51" s="125" t="s">
        <v>59</v>
      </c>
      <c r="C51" s="109">
        <f>+C50-C47</f>
        <v>-43.396082404593045</v>
      </c>
      <c r="D51" s="208">
        <f aca="true" t="shared" si="13" ref="D51:N51">+D50-D47</f>
        <v>-3.396082404593045</v>
      </c>
      <c r="E51" s="73">
        <f t="shared" si="13"/>
        <v>36.603917595406955</v>
      </c>
      <c r="F51" s="109">
        <f t="shared" si="13"/>
        <v>-14.758730158730145</v>
      </c>
      <c r="G51" s="79">
        <f t="shared" si="13"/>
        <v>25.241269841269855</v>
      </c>
      <c r="H51" s="73">
        <f t="shared" si="13"/>
        <v>65.24126984126985</v>
      </c>
      <c r="I51" s="211">
        <f t="shared" si="13"/>
        <v>-12</v>
      </c>
      <c r="J51" s="71">
        <f t="shared" si="13"/>
        <v>48</v>
      </c>
      <c r="K51" s="73">
        <f t="shared" si="13"/>
        <v>88</v>
      </c>
      <c r="L51" s="109">
        <f t="shared" si="13"/>
        <v>-59.71851851851849</v>
      </c>
      <c r="M51" s="79">
        <f t="shared" si="13"/>
        <v>10.281481481481507</v>
      </c>
      <c r="N51" s="71">
        <f t="shared" si="13"/>
        <v>40.28148148148151</v>
      </c>
    </row>
    <row r="52" spans="1:14" ht="15.75" customHeight="1" thickBot="1">
      <c r="A52" s="458" t="s">
        <v>60</v>
      </c>
      <c r="B52" s="459"/>
      <c r="C52" s="71"/>
      <c r="D52" s="79"/>
      <c r="E52" s="73"/>
      <c r="F52" s="71"/>
      <c r="G52" s="79"/>
      <c r="H52" s="73"/>
      <c r="I52" s="78"/>
      <c r="J52" s="71"/>
      <c r="K52" s="73"/>
      <c r="L52" s="71"/>
      <c r="M52" s="79"/>
      <c r="N52" s="71"/>
    </row>
    <row r="53" spans="1:14" s="62" customFormat="1" ht="12.75" customHeight="1">
      <c r="A53" s="172" t="s">
        <v>100</v>
      </c>
      <c r="B53" s="173" t="s">
        <v>61</v>
      </c>
      <c r="C53" s="161">
        <v>35</v>
      </c>
      <c r="D53" s="174">
        <v>35</v>
      </c>
      <c r="E53" s="163">
        <v>28</v>
      </c>
      <c r="F53" s="161">
        <v>35</v>
      </c>
      <c r="G53" s="174">
        <v>35</v>
      </c>
      <c r="H53" s="163">
        <v>28</v>
      </c>
      <c r="I53" s="197">
        <v>35</v>
      </c>
      <c r="J53" s="161">
        <v>35</v>
      </c>
      <c r="K53" s="163">
        <v>28</v>
      </c>
      <c r="L53" s="161">
        <v>35</v>
      </c>
      <c r="M53" s="174">
        <v>35</v>
      </c>
      <c r="N53" s="161">
        <v>30</v>
      </c>
    </row>
    <row r="54" spans="1:23" s="62" customFormat="1" ht="12.75" customHeight="1" thickBot="1">
      <c r="A54" s="34"/>
      <c r="B54" s="136" t="s">
        <v>62</v>
      </c>
      <c r="C54" s="168">
        <f>+(45*((705-210)/705))</f>
        <v>31.595744680851066</v>
      </c>
      <c r="D54" s="169">
        <f>+(45*((705-210)/705))</f>
        <v>31.595744680851066</v>
      </c>
      <c r="E54" s="170">
        <f>+(45*((705-210)/705))</f>
        <v>31.595744680851066</v>
      </c>
      <c r="F54" s="168">
        <f>+(45*((705-0)/705))</f>
        <v>45</v>
      </c>
      <c r="G54" s="175">
        <f aca="true" t="shared" si="14" ref="G54:N54">+(45*((705-0)/705))</f>
        <v>45</v>
      </c>
      <c r="H54" s="170">
        <f t="shared" si="14"/>
        <v>45</v>
      </c>
      <c r="I54" s="201">
        <f t="shared" si="14"/>
        <v>45</v>
      </c>
      <c r="J54" s="168">
        <f t="shared" si="14"/>
        <v>45</v>
      </c>
      <c r="K54" s="170">
        <f t="shared" si="14"/>
        <v>45</v>
      </c>
      <c r="L54" s="168">
        <f t="shared" si="14"/>
        <v>45</v>
      </c>
      <c r="M54" s="175">
        <f t="shared" si="14"/>
        <v>45</v>
      </c>
      <c r="N54" s="168">
        <f t="shared" si="14"/>
        <v>45</v>
      </c>
      <c r="W54" s="84"/>
    </row>
    <row r="55" spans="1:14" ht="12.75" customHeight="1" thickBot="1">
      <c r="A55" s="81"/>
      <c r="B55" s="125" t="s">
        <v>63</v>
      </c>
      <c r="C55" s="109">
        <f>+C54-C53</f>
        <v>-3.404255319148934</v>
      </c>
      <c r="D55" s="208">
        <f aca="true" t="shared" si="15" ref="D55:N55">+D54-D53</f>
        <v>-3.404255319148934</v>
      </c>
      <c r="E55" s="73">
        <f t="shared" si="15"/>
        <v>3.595744680851066</v>
      </c>
      <c r="F55" s="71">
        <f t="shared" si="15"/>
        <v>10</v>
      </c>
      <c r="G55" s="79">
        <f t="shared" si="15"/>
        <v>10</v>
      </c>
      <c r="H55" s="73">
        <f t="shared" si="15"/>
        <v>17</v>
      </c>
      <c r="I55" s="78">
        <f t="shared" si="15"/>
        <v>10</v>
      </c>
      <c r="J55" s="71">
        <f t="shared" si="15"/>
        <v>10</v>
      </c>
      <c r="K55" s="73">
        <f t="shared" si="15"/>
        <v>17</v>
      </c>
      <c r="L55" s="71">
        <f t="shared" si="15"/>
        <v>10</v>
      </c>
      <c r="M55" s="79">
        <f t="shared" si="15"/>
        <v>10</v>
      </c>
      <c r="N55" s="71">
        <f t="shared" si="15"/>
        <v>15</v>
      </c>
    </row>
    <row r="56" spans="1:23" s="111" customFormat="1" ht="23.25" customHeight="1" thickBot="1">
      <c r="A56" s="176"/>
      <c r="B56" s="177" t="s">
        <v>64</v>
      </c>
      <c r="C56" s="152">
        <f aca="true" t="shared" si="16" ref="C56:N56">+C55+C51+C45+C34+C25</f>
        <v>515.3000000000004</v>
      </c>
      <c r="D56" s="150">
        <f t="shared" si="16"/>
        <v>389.3000000000003</v>
      </c>
      <c r="E56" s="127">
        <f t="shared" si="16"/>
        <v>465.3000000000006</v>
      </c>
      <c r="F56" s="152">
        <f t="shared" si="16"/>
        <v>94.86000000000001</v>
      </c>
      <c r="G56" s="150">
        <f t="shared" si="16"/>
        <v>218.86000000000013</v>
      </c>
      <c r="H56" s="127">
        <f t="shared" si="16"/>
        <v>364.8599999999999</v>
      </c>
      <c r="I56" s="395">
        <f t="shared" si="16"/>
        <v>113.60000000000002</v>
      </c>
      <c r="J56" s="152">
        <f t="shared" si="16"/>
        <v>187.60000000000036</v>
      </c>
      <c r="K56" s="127">
        <f t="shared" si="16"/>
        <v>383.60000000000025</v>
      </c>
      <c r="L56" s="225">
        <f t="shared" si="16"/>
        <v>-113.70000000000059</v>
      </c>
      <c r="M56" s="150">
        <f t="shared" si="16"/>
        <v>110.29999999999953</v>
      </c>
      <c r="N56" s="152">
        <f t="shared" si="16"/>
        <v>156.29999999999953</v>
      </c>
      <c r="W56" s="181"/>
    </row>
    <row r="57" spans="1:23" s="111" customFormat="1" ht="12" customHeight="1">
      <c r="A57" s="68" t="s">
        <v>101</v>
      </c>
      <c r="C57" s="428"/>
      <c r="D57" s="428"/>
      <c r="E57" s="428"/>
      <c r="F57" s="429"/>
      <c r="G57" s="428"/>
      <c r="H57" s="428"/>
      <c r="I57" s="428"/>
      <c r="J57" s="428"/>
      <c r="K57" s="428"/>
      <c r="L57" s="429"/>
      <c r="M57" s="428"/>
      <c r="N57" s="428"/>
      <c r="W57" s="181"/>
    </row>
    <row r="58" spans="1:23" s="111" customFormat="1" ht="12" customHeight="1">
      <c r="A58" s="213">
        <v>1</v>
      </c>
      <c r="B58" s="17" t="s">
        <v>204</v>
      </c>
      <c r="C58" s="428"/>
      <c r="D58" s="428"/>
      <c r="E58" s="428"/>
      <c r="F58" s="429"/>
      <c r="G58" s="428"/>
      <c r="H58" s="428"/>
      <c r="I58" s="428"/>
      <c r="J58" s="428"/>
      <c r="K58" s="428"/>
      <c r="L58" s="429"/>
      <c r="M58" s="428"/>
      <c r="N58" s="428"/>
      <c r="W58" s="181"/>
    </row>
    <row r="59" spans="1:23" s="111" customFormat="1" ht="12" customHeight="1">
      <c r="A59" s="1">
        <v>2</v>
      </c>
      <c r="B59" s="60" t="s">
        <v>89</v>
      </c>
      <c r="C59" s="428"/>
      <c r="D59" s="428"/>
      <c r="E59" s="428"/>
      <c r="F59" s="429"/>
      <c r="G59" s="428"/>
      <c r="H59" s="428"/>
      <c r="I59" s="428"/>
      <c r="J59" s="428"/>
      <c r="K59" s="428"/>
      <c r="L59" s="429"/>
      <c r="M59" s="428"/>
      <c r="N59" s="428"/>
      <c r="W59" s="181"/>
    </row>
    <row r="60" spans="1:23" s="111" customFormat="1" ht="12" customHeight="1">
      <c r="A60">
        <v>3</v>
      </c>
      <c r="B60" s="129" t="s">
        <v>200</v>
      </c>
      <c r="C60" s="428"/>
      <c r="D60" s="428"/>
      <c r="E60" s="428"/>
      <c r="F60" s="429"/>
      <c r="G60" s="428"/>
      <c r="H60" s="428"/>
      <c r="I60" s="428"/>
      <c r="J60" s="428"/>
      <c r="K60" s="428"/>
      <c r="L60" s="429"/>
      <c r="M60" s="428"/>
      <c r="N60" s="428"/>
      <c r="W60" s="181"/>
    </row>
    <row r="61" spans="1:23" s="111" customFormat="1" ht="12" customHeight="1">
      <c r="A61" s="1">
        <v>4</v>
      </c>
      <c r="B61" s="129" t="s">
        <v>201</v>
      </c>
      <c r="C61" s="428"/>
      <c r="D61" s="428"/>
      <c r="E61" s="428"/>
      <c r="F61" s="429"/>
      <c r="G61" s="428"/>
      <c r="H61" s="428"/>
      <c r="I61" s="428"/>
      <c r="J61" s="428"/>
      <c r="K61" s="428"/>
      <c r="L61" s="429"/>
      <c r="M61" s="428"/>
      <c r="N61" s="428"/>
      <c r="W61" s="181"/>
    </row>
    <row r="62" spans="1:23" ht="12" customHeight="1">
      <c r="A62" s="105">
        <v>5</v>
      </c>
      <c r="B62" s="129" t="s">
        <v>203</v>
      </c>
      <c r="D62" s="12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2.75">
      <c r="A63"/>
      <c r="B63" s="129"/>
      <c r="D63" s="1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>
      <c r="A64" s="1"/>
      <c r="B64" s="129"/>
      <c r="D64" s="1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>
      <c r="A65" s="105"/>
      <c r="B65"/>
      <c r="D65" s="1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5" ht="18">
      <c r="A66" s="178"/>
      <c r="B66" s="110" t="s">
        <v>120</v>
      </c>
      <c r="C66" s="178"/>
      <c r="E66" s="110"/>
    </row>
    <row r="67" spans="2:3" ht="15.75">
      <c r="B67" s="5" t="s">
        <v>196</v>
      </c>
      <c r="C67" s="65"/>
    </row>
    <row r="68" spans="1:17" ht="12.75">
      <c r="A68" s="66" t="s">
        <v>87</v>
      </c>
      <c r="P68" s="66"/>
      <c r="Q68" s="66"/>
    </row>
    <row r="69" spans="1:17" ht="5.25" customHeight="1">
      <c r="A69" s="66"/>
      <c r="P69" s="66"/>
      <c r="Q69" s="66"/>
    </row>
    <row r="70" spans="1:30" s="68" customFormat="1" ht="11.25" customHeight="1" thickBot="1">
      <c r="A70" s="67" t="s">
        <v>42</v>
      </c>
      <c r="D70" s="69"/>
      <c r="E70" s="69"/>
      <c r="L70" s="99"/>
      <c r="M70" s="4" t="s">
        <v>206</v>
      </c>
      <c r="R70" s="112"/>
      <c r="S70" s="112"/>
      <c r="T70" s="69"/>
      <c r="U70" s="69"/>
      <c r="AC70" s="4"/>
      <c r="AD70" s="99"/>
    </row>
    <row r="71" spans="1:23" ht="16.5" customHeight="1" thickBot="1">
      <c r="A71" s="113" t="s">
        <v>37</v>
      </c>
      <c r="B71" s="114" t="s">
        <v>38</v>
      </c>
      <c r="C71" s="448" t="s">
        <v>72</v>
      </c>
      <c r="D71" s="449"/>
      <c r="E71" s="449"/>
      <c r="F71" s="449"/>
      <c r="G71" s="449"/>
      <c r="H71" s="450"/>
      <c r="I71" s="454" t="s">
        <v>103</v>
      </c>
      <c r="J71" s="449"/>
      <c r="K71" s="449"/>
      <c r="L71" s="449"/>
      <c r="M71" s="449"/>
      <c r="N71" s="450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3.5" customHeight="1" thickBot="1">
      <c r="A72" s="115" t="s">
        <v>39</v>
      </c>
      <c r="B72" s="153"/>
      <c r="C72" s="451" t="s">
        <v>66</v>
      </c>
      <c r="D72" s="452"/>
      <c r="E72" s="453"/>
      <c r="F72" s="451" t="s">
        <v>67</v>
      </c>
      <c r="G72" s="452"/>
      <c r="H72" s="453"/>
      <c r="I72" s="455" t="s">
        <v>66</v>
      </c>
      <c r="J72" s="449"/>
      <c r="K72" s="449"/>
      <c r="L72" s="451" t="s">
        <v>67</v>
      </c>
      <c r="M72" s="449"/>
      <c r="N72" s="450"/>
      <c r="O72" s="17"/>
      <c r="P72" s="17"/>
      <c r="Q72" s="17"/>
      <c r="R72" s="17"/>
      <c r="S72" s="17"/>
      <c r="T72" s="17"/>
      <c r="U72" s="17"/>
      <c r="V72" s="17"/>
      <c r="W72" s="17"/>
    </row>
    <row r="73" spans="1:14" ht="15" customHeight="1" thickBot="1">
      <c r="A73" s="115"/>
      <c r="B73" s="153"/>
      <c r="C73" s="12" t="s">
        <v>77</v>
      </c>
      <c r="D73" s="13" t="s">
        <v>78</v>
      </c>
      <c r="E73" s="13" t="s">
        <v>79</v>
      </c>
      <c r="F73" s="12" t="s">
        <v>77</v>
      </c>
      <c r="G73" s="13" t="s">
        <v>78</v>
      </c>
      <c r="H73" s="13" t="s">
        <v>79</v>
      </c>
      <c r="I73" s="195" t="s">
        <v>77</v>
      </c>
      <c r="J73" s="12" t="s">
        <v>78</v>
      </c>
      <c r="K73" s="13" t="s">
        <v>79</v>
      </c>
      <c r="L73" s="12" t="s">
        <v>77</v>
      </c>
      <c r="M73" s="13" t="s">
        <v>78</v>
      </c>
      <c r="N73" s="13" t="s">
        <v>79</v>
      </c>
    </row>
    <row r="74" spans="1:14" ht="15.75" customHeight="1" thickBot="1">
      <c r="A74" s="115"/>
      <c r="B74" s="116"/>
      <c r="C74" s="12" t="s">
        <v>80</v>
      </c>
      <c r="D74" s="13" t="s">
        <v>81</v>
      </c>
      <c r="E74" s="13" t="s">
        <v>82</v>
      </c>
      <c r="F74" s="12" t="s">
        <v>80</v>
      </c>
      <c r="G74" s="13" t="s">
        <v>81</v>
      </c>
      <c r="H74" s="13" t="s">
        <v>82</v>
      </c>
      <c r="I74" s="195" t="s">
        <v>80</v>
      </c>
      <c r="J74" s="12" t="s">
        <v>81</v>
      </c>
      <c r="K74" s="13" t="s">
        <v>82</v>
      </c>
      <c r="L74" s="12" t="s">
        <v>80</v>
      </c>
      <c r="M74" s="13" t="s">
        <v>81</v>
      </c>
      <c r="N74" s="13" t="s">
        <v>82</v>
      </c>
    </row>
    <row r="75" spans="1:23" s="183" customFormat="1" ht="13.5" thickBot="1">
      <c r="A75" s="70" t="s">
        <v>40</v>
      </c>
      <c r="B75" s="117" t="s">
        <v>115</v>
      </c>
      <c r="C75" s="151">
        <f>'Delhi SummerApr-Sep'!C69</f>
        <v>4050</v>
      </c>
      <c r="D75" s="147">
        <f>'Delhi SummerApr-Sep'!D69</f>
        <v>4050</v>
      </c>
      <c r="E75" s="118">
        <f>'Delhi SummerApr-Sep'!E69</f>
        <v>3650</v>
      </c>
      <c r="F75" s="151">
        <f>'Delhi SummerApr-Sep'!F69</f>
        <v>4350</v>
      </c>
      <c r="G75" s="147">
        <f>'Delhi SummerApr-Sep'!G69</f>
        <v>4200</v>
      </c>
      <c r="H75" s="118">
        <f>'Delhi SummerApr-Sep'!H69</f>
        <v>3750</v>
      </c>
      <c r="I75" s="196">
        <f>'Delhi SummerApr-Sep'!I69</f>
        <v>4400</v>
      </c>
      <c r="J75" s="151">
        <f>'Delhi SummerApr-Sep'!J69</f>
        <v>4250</v>
      </c>
      <c r="K75" s="118">
        <f>'Delhi SummerApr-Sep'!K69</f>
        <v>3700</v>
      </c>
      <c r="L75" s="151">
        <f>'Delhi SummerApr-Sep'!L69</f>
        <v>4500</v>
      </c>
      <c r="M75" s="147">
        <f>'Delhi SummerApr-Sep'!M69</f>
        <v>4250</v>
      </c>
      <c r="N75" s="151">
        <f>'Delhi SummerApr-Sep'!N69</f>
        <v>3850</v>
      </c>
      <c r="O75" s="130"/>
      <c r="P75" s="130"/>
      <c r="Q75" s="130"/>
      <c r="R75" s="130"/>
      <c r="S75" s="130"/>
      <c r="T75" s="130"/>
      <c r="U75" s="130"/>
      <c r="V75" s="130"/>
      <c r="W75" s="130"/>
    </row>
    <row r="76" spans="1:14" s="62" customFormat="1" ht="13.5" thickBot="1">
      <c r="A76" s="72" t="s">
        <v>41</v>
      </c>
      <c r="B76" s="119" t="s">
        <v>65</v>
      </c>
      <c r="C76" s="71">
        <f aca="true" t="shared" si="17" ref="C76:N76">+C75-C116-C122</f>
        <v>3725</v>
      </c>
      <c r="D76" s="79">
        <f t="shared" si="17"/>
        <v>3775</v>
      </c>
      <c r="E76" s="73">
        <f t="shared" si="17"/>
        <v>3430</v>
      </c>
      <c r="F76" s="71">
        <f t="shared" si="17"/>
        <v>4025</v>
      </c>
      <c r="G76" s="79">
        <f t="shared" si="17"/>
        <v>3925</v>
      </c>
      <c r="H76" s="73">
        <f t="shared" si="17"/>
        <v>3530</v>
      </c>
      <c r="I76" s="78">
        <f t="shared" si="17"/>
        <v>4075</v>
      </c>
      <c r="J76" s="71">
        <f t="shared" si="17"/>
        <v>3975</v>
      </c>
      <c r="K76" s="73">
        <f t="shared" si="17"/>
        <v>3480</v>
      </c>
      <c r="L76" s="71">
        <f t="shared" si="17"/>
        <v>4175</v>
      </c>
      <c r="M76" s="79">
        <f t="shared" si="17"/>
        <v>3975</v>
      </c>
      <c r="N76" s="71">
        <f t="shared" si="17"/>
        <v>3630</v>
      </c>
    </row>
    <row r="77" spans="1:23" ht="17.25" customHeight="1" thickBot="1">
      <c r="A77" s="456" t="s">
        <v>43</v>
      </c>
      <c r="B77" s="452"/>
      <c r="C77" s="154"/>
      <c r="D77" s="155"/>
      <c r="E77" s="156"/>
      <c r="F77" s="154"/>
      <c r="G77" s="155"/>
      <c r="H77" s="156"/>
      <c r="I77" s="157"/>
      <c r="J77" s="158"/>
      <c r="K77" s="156"/>
      <c r="L77" s="154"/>
      <c r="M77" s="155"/>
      <c r="N77" s="158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2.75">
      <c r="A78" s="159" t="s">
        <v>92</v>
      </c>
      <c r="B78" s="160" t="s">
        <v>44</v>
      </c>
      <c r="C78" s="161">
        <f aca="true" t="shared" si="18" ref="C78:N78">+C76*0.2918</f>
        <v>1086.955</v>
      </c>
      <c r="D78" s="162">
        <f t="shared" si="18"/>
        <v>1101.545</v>
      </c>
      <c r="E78" s="163">
        <f t="shared" si="18"/>
        <v>1000.874</v>
      </c>
      <c r="F78" s="161">
        <f t="shared" si="18"/>
        <v>1174.4950000000001</v>
      </c>
      <c r="G78" s="162">
        <f t="shared" si="18"/>
        <v>1145.315</v>
      </c>
      <c r="H78" s="163">
        <f t="shared" si="18"/>
        <v>1030.054</v>
      </c>
      <c r="I78" s="197">
        <f t="shared" si="18"/>
        <v>1189.085</v>
      </c>
      <c r="J78" s="161">
        <f t="shared" si="18"/>
        <v>1159.905</v>
      </c>
      <c r="K78" s="163">
        <f t="shared" si="18"/>
        <v>1015.464</v>
      </c>
      <c r="L78" s="161">
        <f t="shared" si="18"/>
        <v>1218.265</v>
      </c>
      <c r="M78" s="162">
        <f t="shared" si="18"/>
        <v>1159.905</v>
      </c>
      <c r="N78" s="161">
        <f t="shared" si="18"/>
        <v>1059.234</v>
      </c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2.75">
      <c r="A79" s="61"/>
      <c r="B79" s="120" t="s">
        <v>45</v>
      </c>
      <c r="C79" s="74"/>
      <c r="D79" s="75"/>
      <c r="E79" s="121"/>
      <c r="F79" s="74"/>
      <c r="G79" s="75"/>
      <c r="H79" s="121"/>
      <c r="I79" s="198"/>
      <c r="J79" s="74"/>
      <c r="K79" s="121"/>
      <c r="L79" s="74"/>
      <c r="M79" s="75"/>
      <c r="N79" s="74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>
      <c r="A80" s="61">
        <v>1</v>
      </c>
      <c r="B80" s="122" t="s">
        <v>46</v>
      </c>
      <c r="C80" s="164">
        <f>('Delhi SummerApr-Sep'!C77+'Delhi SummerApr-Sep'!C81-'Discom Combined'!C81-'Discom Combined'!C93-'Discom Combined'!C104-'Discom Combined'!C119-'Discom Combined'!C123)*0.2918</f>
        <v>769.2476609323884</v>
      </c>
      <c r="D80" s="165">
        <f>('Delhi SummerApr-Sep'!D77+'Delhi SummerApr-Sep'!D81-'Discom Combined'!D81-'Discom Combined'!D93-'Discom Combined'!D104-'Discom Combined'!D119-'Discom Combined'!D123)*0.2918</f>
        <v>776.2508609323884</v>
      </c>
      <c r="E80" s="166">
        <f>('Delhi SummerApr-Sep'!E77+'Delhi SummerApr-Sep'!E81-'Discom Combined'!E81-'Discom Combined'!E93-'Discom Combined'!E104-'Discom Combined'!E119-'Discom Combined'!E123)*0.2918</f>
        <v>702.1336609323884</v>
      </c>
      <c r="F80" s="164">
        <f>('Delhi SummerApr-Sep'!F77+'Delhi SummerApr-Sep'!F81-'Discom Combined'!F81-'Discom Combined'!F93-'Discom Combined'!F104-'Discom Combined'!F119-'Discom Combined'!F123)*0.2918</f>
        <v>788.93966</v>
      </c>
      <c r="G80" s="165">
        <f>('Delhi SummerApr-Sep'!G77+'Delhi SummerApr-Sep'!G81-'Discom Combined'!G81-'Discom Combined'!G93-'Discom Combined'!G104-'Discom Combined'!G119-'Discom Combined'!G123)*0.2918</f>
        <v>795.94286</v>
      </c>
      <c r="H80" s="166">
        <f>('Delhi SummerApr-Sep'!H77+'Delhi SummerApr-Sep'!H81-'Discom Combined'!H81-'Discom Combined'!H93-'Discom Combined'!H104-'Discom Combined'!H119-'Discom Combined'!H123)*0.2918</f>
        <v>721.82566</v>
      </c>
      <c r="I80" s="199">
        <f>('Delhi SummerApr-Sep'!I77+'Delhi SummerApr-Sep'!I81-'Discom Combined'!I81-'Discom Combined'!I93-'Discom Combined'!I104-'Discom Combined'!I119-'Discom Combined'!I123)*0.2918</f>
        <v>801.2828000000001</v>
      </c>
      <c r="J80" s="164">
        <f>('Delhi SummerApr-Sep'!J77+'Delhi SummerApr-Sep'!J81-'Discom Combined'!J81-'Discom Combined'!J93-'Discom Combined'!J104-'Discom Combined'!J119-'Discom Combined'!J123)*0.2918</f>
        <v>808.2860000000001</v>
      </c>
      <c r="K80" s="166">
        <f>('Delhi SummerApr-Sep'!K77+'Delhi SummerApr-Sep'!K81-'Discom Combined'!K81-'Discom Combined'!K93-'Discom Combined'!K104-'Discom Combined'!K119-'Discom Combined'!K123)*0.2918</f>
        <v>734.1688</v>
      </c>
      <c r="L80" s="164">
        <f>('Delhi SummerApr-Sep'!L77+'Delhi SummerApr-Sep'!L81-'Discom Combined'!L81-'Discom Combined'!L93-'Discom Combined'!L104-'Discom Combined'!L119-'Discom Combined'!L123)*0.2918</f>
        <v>801.2828000000001</v>
      </c>
      <c r="M80" s="165">
        <f>('Delhi SummerApr-Sep'!M77+'Delhi SummerApr-Sep'!M81-'Discom Combined'!M81-'Discom Combined'!M93-'Discom Combined'!M104-'Discom Combined'!M119-'Discom Combined'!M123)*0.2918</f>
        <v>808.2860000000001</v>
      </c>
      <c r="N80" s="164">
        <f>('Delhi SummerApr-Sep'!N77+'Delhi SummerApr-Sep'!N81-'Discom Combined'!N81-'Discom Combined'!N93-'Discom Combined'!N104-'Discom Combined'!N119-'Discom Combined'!N123)*0.2918</f>
        <v>734.1688</v>
      </c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2.75">
      <c r="A81" s="61">
        <v>2</v>
      </c>
      <c r="B81" s="122" t="s">
        <v>47</v>
      </c>
      <c r="C81" s="76">
        <f>(266*((2393-154)/2393))*0.35</f>
        <v>87.10860844128709</v>
      </c>
      <c r="D81" s="76">
        <f>(266*((2393-154)/2393))*0.35</f>
        <v>87.10860844128709</v>
      </c>
      <c r="E81" s="76">
        <f>(266*((2393-154)/2393))*0.35</f>
        <v>87.10860844128709</v>
      </c>
      <c r="F81" s="76">
        <f aca="true" t="shared" si="19" ref="F81:N81">(266*((2393-0)/2393))*0.35</f>
        <v>93.1</v>
      </c>
      <c r="G81" s="148">
        <f t="shared" si="19"/>
        <v>93.1</v>
      </c>
      <c r="H81" s="123">
        <f t="shared" si="19"/>
        <v>93.1</v>
      </c>
      <c r="I81" s="200">
        <f t="shared" si="19"/>
        <v>93.1</v>
      </c>
      <c r="J81" s="76">
        <f t="shared" si="19"/>
        <v>93.1</v>
      </c>
      <c r="K81" s="123">
        <f t="shared" si="19"/>
        <v>93.1</v>
      </c>
      <c r="L81" s="76">
        <f t="shared" si="19"/>
        <v>93.1</v>
      </c>
      <c r="M81" s="148">
        <f t="shared" si="19"/>
        <v>93.1</v>
      </c>
      <c r="N81" s="76">
        <f t="shared" si="19"/>
        <v>93.1</v>
      </c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>
      <c r="A82" s="61">
        <v>3</v>
      </c>
      <c r="B82" s="167" t="s">
        <v>48</v>
      </c>
      <c r="C82" s="76">
        <f>'Delhi SummerApr-Sep'!C83*0.2918</f>
        <v>61.74488000000001</v>
      </c>
      <c r="D82" s="148">
        <f>'Delhi SummerApr-Sep'!D83*0.2918</f>
        <v>61.74488000000001</v>
      </c>
      <c r="E82" s="123">
        <f>'Delhi SummerApr-Sep'!E83*0.2918</f>
        <v>61.74488000000001</v>
      </c>
      <c r="F82" s="76">
        <f>'Delhi SummerApr-Sep'!F83*0.2918</f>
        <v>61.74488000000001</v>
      </c>
      <c r="G82" s="148">
        <f>'Delhi SummerApr-Sep'!G83*0.2918</f>
        <v>61.74488000000001</v>
      </c>
      <c r="H82" s="123">
        <f>'Delhi SummerApr-Sep'!H83*0.2918</f>
        <v>61.74488000000001</v>
      </c>
      <c r="I82" s="200">
        <f>'Delhi SummerApr-Sep'!I83*0.2918</f>
        <v>61.74488000000001</v>
      </c>
      <c r="J82" s="76">
        <f>'Delhi SummerApr-Sep'!J83*0.2918</f>
        <v>61.74488000000001</v>
      </c>
      <c r="K82" s="123">
        <f>'Delhi SummerApr-Sep'!K83*0.2918</f>
        <v>61.74488000000001</v>
      </c>
      <c r="L82" s="76">
        <f>'Delhi SummerApr-Sep'!L83*0.2918</f>
        <v>61.74488000000001</v>
      </c>
      <c r="M82" s="148">
        <f>'Delhi SummerApr-Sep'!M83*0.2918</f>
        <v>61.74488000000001</v>
      </c>
      <c r="N82" s="76">
        <f>'Delhi SummerApr-Sep'!N83*0.2918</f>
        <v>61.74488000000001</v>
      </c>
      <c r="O82" s="17"/>
      <c r="P82" s="17"/>
      <c r="Q82" s="17"/>
      <c r="R82" s="17"/>
      <c r="S82" s="17"/>
      <c r="T82" s="17"/>
      <c r="U82" s="17"/>
      <c r="V82" s="17"/>
      <c r="W82" s="17"/>
    </row>
    <row r="83" spans="1:14" ht="14.25" customHeight="1">
      <c r="A83" s="224">
        <v>4</v>
      </c>
      <c r="B83" s="33" t="s">
        <v>116</v>
      </c>
      <c r="C83" s="204">
        <v>16</v>
      </c>
      <c r="D83" s="204">
        <v>16</v>
      </c>
      <c r="E83" s="204">
        <v>16</v>
      </c>
      <c r="F83" s="204">
        <v>16</v>
      </c>
      <c r="G83" s="204">
        <v>16</v>
      </c>
      <c r="H83" s="204">
        <v>16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</row>
    <row r="84" spans="1:14" ht="14.25" customHeight="1">
      <c r="A84" s="224">
        <v>5</v>
      </c>
      <c r="B84" s="33" t="s">
        <v>117</v>
      </c>
      <c r="C84" s="204">
        <v>38</v>
      </c>
      <c r="D84" s="204">
        <v>38</v>
      </c>
      <c r="E84" s="204">
        <v>38</v>
      </c>
      <c r="F84" s="204">
        <v>0</v>
      </c>
      <c r="G84" s="204">
        <v>0</v>
      </c>
      <c r="H84" s="204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</row>
    <row r="85" spans="1:14" ht="14.25" customHeight="1">
      <c r="A85" s="224">
        <v>6</v>
      </c>
      <c r="B85" s="33" t="s">
        <v>118</v>
      </c>
      <c r="C85" s="204">
        <v>0</v>
      </c>
      <c r="D85" s="204">
        <v>0</v>
      </c>
      <c r="E85" s="204">
        <v>0</v>
      </c>
      <c r="F85" s="204">
        <v>0</v>
      </c>
      <c r="G85" s="204">
        <v>0</v>
      </c>
      <c r="H85" s="204">
        <v>0</v>
      </c>
      <c r="I85" s="59">
        <v>18</v>
      </c>
      <c r="J85" s="59">
        <v>18</v>
      </c>
      <c r="K85" s="59">
        <v>18</v>
      </c>
      <c r="L85" s="59">
        <v>18</v>
      </c>
      <c r="M85" s="59">
        <v>18</v>
      </c>
      <c r="N85" s="59">
        <v>18</v>
      </c>
    </row>
    <row r="86" spans="1:14" ht="14.25" customHeight="1">
      <c r="A86" s="224">
        <v>7</v>
      </c>
      <c r="B86" s="33" t="s">
        <v>119</v>
      </c>
      <c r="C86" s="204">
        <v>96</v>
      </c>
      <c r="D86" s="204">
        <v>96</v>
      </c>
      <c r="E86" s="204">
        <v>96</v>
      </c>
      <c r="F86" s="204">
        <v>96</v>
      </c>
      <c r="G86" s="204">
        <v>96</v>
      </c>
      <c r="H86" s="204">
        <v>96</v>
      </c>
      <c r="I86" s="204">
        <v>96</v>
      </c>
      <c r="J86" s="204">
        <v>96</v>
      </c>
      <c r="K86" s="204">
        <v>96</v>
      </c>
      <c r="L86" s="204">
        <v>96</v>
      </c>
      <c r="M86" s="204">
        <v>96</v>
      </c>
      <c r="N86" s="204">
        <v>96</v>
      </c>
    </row>
    <row r="87" spans="1:14" s="62" customFormat="1" ht="12.75" customHeight="1" thickBot="1">
      <c r="A87" s="34">
        <v>8</v>
      </c>
      <c r="B87" s="136" t="s">
        <v>49</v>
      </c>
      <c r="C87" s="168">
        <f>SUM(C80:C86)</f>
        <v>1068.1011493736755</v>
      </c>
      <c r="D87" s="168">
        <f aca="true" t="shared" si="20" ref="D87:N87">SUM(D80:D86)</f>
        <v>1075.1043493736754</v>
      </c>
      <c r="E87" s="168">
        <f t="shared" si="20"/>
        <v>1000.9871493736754</v>
      </c>
      <c r="F87" s="168">
        <f t="shared" si="20"/>
        <v>1055.78454</v>
      </c>
      <c r="G87" s="168">
        <f t="shared" si="20"/>
        <v>1062.78774</v>
      </c>
      <c r="H87" s="168">
        <f t="shared" si="20"/>
        <v>988.67054</v>
      </c>
      <c r="I87" s="168">
        <f t="shared" si="20"/>
        <v>1070.12768</v>
      </c>
      <c r="J87" s="168">
        <f t="shared" si="20"/>
        <v>1077.1308800000002</v>
      </c>
      <c r="K87" s="168">
        <f t="shared" si="20"/>
        <v>1003.01368</v>
      </c>
      <c r="L87" s="168">
        <f t="shared" si="20"/>
        <v>1070.12768</v>
      </c>
      <c r="M87" s="168">
        <f t="shared" si="20"/>
        <v>1077.1308800000002</v>
      </c>
      <c r="N87" s="168">
        <f t="shared" si="20"/>
        <v>1003.01368</v>
      </c>
    </row>
    <row r="88" spans="1:23" ht="17.25" customHeight="1" thickBot="1">
      <c r="A88" s="81"/>
      <c r="B88" s="125" t="s">
        <v>50</v>
      </c>
      <c r="C88" s="109">
        <f aca="true" t="shared" si="21" ref="C88:N88">+C87-C78</f>
        <v>-18.8538506263244</v>
      </c>
      <c r="D88" s="209">
        <f t="shared" si="21"/>
        <v>-26.44065062632467</v>
      </c>
      <c r="E88" s="73">
        <f t="shared" si="21"/>
        <v>0.11314937367535549</v>
      </c>
      <c r="F88" s="109">
        <f t="shared" si="21"/>
        <v>-118.71046000000001</v>
      </c>
      <c r="G88" s="209">
        <f t="shared" si="21"/>
        <v>-82.52726000000007</v>
      </c>
      <c r="H88" s="210">
        <f t="shared" si="21"/>
        <v>-41.38346000000013</v>
      </c>
      <c r="I88" s="211">
        <f t="shared" si="21"/>
        <v>-118.95731999999998</v>
      </c>
      <c r="J88" s="109">
        <f t="shared" si="21"/>
        <v>-82.77411999999981</v>
      </c>
      <c r="K88" s="210">
        <f t="shared" si="21"/>
        <v>-12.450320000000033</v>
      </c>
      <c r="L88" s="109">
        <f t="shared" si="21"/>
        <v>-148.13732000000005</v>
      </c>
      <c r="M88" s="209">
        <f t="shared" si="21"/>
        <v>-82.77411999999981</v>
      </c>
      <c r="N88" s="109">
        <f t="shared" si="21"/>
        <v>-56.2203199999999</v>
      </c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6.5" customHeight="1" thickBot="1">
      <c r="A89" s="458" t="s">
        <v>54</v>
      </c>
      <c r="B89" s="459"/>
      <c r="C89" s="158"/>
      <c r="D89" s="155"/>
      <c r="E89" s="156"/>
      <c r="F89" s="158"/>
      <c r="G89" s="155"/>
      <c r="H89" s="156"/>
      <c r="I89" s="171"/>
      <c r="J89" s="158"/>
      <c r="K89" s="156"/>
      <c r="L89" s="158"/>
      <c r="M89" s="155"/>
      <c r="N89" s="158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>
      <c r="A90" s="159" t="s">
        <v>93</v>
      </c>
      <c r="B90" s="160" t="s">
        <v>55</v>
      </c>
      <c r="C90" s="82">
        <f aca="true" t="shared" si="22" ref="C90:N90">+C76*0.2724</f>
        <v>1014.6899999999999</v>
      </c>
      <c r="D90" s="149">
        <f t="shared" si="22"/>
        <v>1028.31</v>
      </c>
      <c r="E90" s="124">
        <f t="shared" si="22"/>
        <v>934.3319999999999</v>
      </c>
      <c r="F90" s="82">
        <f t="shared" si="22"/>
        <v>1096.4099999999999</v>
      </c>
      <c r="G90" s="149">
        <f t="shared" si="22"/>
        <v>1069.1699999999998</v>
      </c>
      <c r="H90" s="124">
        <f t="shared" si="22"/>
        <v>961.5719999999999</v>
      </c>
      <c r="I90" s="202">
        <f t="shared" si="22"/>
        <v>1110.03</v>
      </c>
      <c r="J90" s="82">
        <f t="shared" si="22"/>
        <v>1082.79</v>
      </c>
      <c r="K90" s="124">
        <f t="shared" si="22"/>
        <v>947.9519999999999</v>
      </c>
      <c r="L90" s="82">
        <f t="shared" si="22"/>
        <v>1137.27</v>
      </c>
      <c r="M90" s="149">
        <f t="shared" si="22"/>
        <v>1082.79</v>
      </c>
      <c r="N90" s="82">
        <f t="shared" si="22"/>
        <v>988.8119999999999</v>
      </c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>
      <c r="A91" s="61"/>
      <c r="B91" s="120" t="s">
        <v>56</v>
      </c>
      <c r="C91" s="76"/>
      <c r="D91" s="83"/>
      <c r="E91" s="123"/>
      <c r="F91" s="76"/>
      <c r="G91" s="83"/>
      <c r="H91" s="123"/>
      <c r="I91" s="200"/>
      <c r="J91" s="76"/>
      <c r="K91" s="123"/>
      <c r="L91" s="76"/>
      <c r="M91" s="83"/>
      <c r="N91" s="76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61">
        <v>1</v>
      </c>
      <c r="B92" s="122" t="s">
        <v>46</v>
      </c>
      <c r="C92" s="76">
        <f>('Delhi SummerApr-Sep'!C77+'Delhi SummerApr-Sep'!C81-'Discom Combined'!C81-'Discom Combined'!C93-'Discom Combined'!C104-'Discom Combined'!C119-'Discom Combined'!C123)*0.2724</f>
        <v>718.1050816928806</v>
      </c>
      <c r="D92" s="148">
        <f>('Delhi SummerApr-Sep'!D77+'Delhi SummerApr-Sep'!D81-'Discom Combined'!D81-'Discom Combined'!D93-'Discom Combined'!D104-'Discom Combined'!D119-'Discom Combined'!D123)*0.2724</f>
        <v>724.6426816928806</v>
      </c>
      <c r="E92" s="123">
        <f>('Delhi SummerApr-Sep'!E77+'Delhi SummerApr-Sep'!E81-'Discom Combined'!E81-'Discom Combined'!E93-'Discom Combined'!E104-'Discom Combined'!E119-'Discom Combined'!E123)*0.2724</f>
        <v>655.4530816928807</v>
      </c>
      <c r="F92" s="76">
        <f>('Delhi SummerApr-Sep'!F77+'Delhi SummerApr-Sep'!F81-'Discom Combined'!F81-'Discom Combined'!F93-'Discom Combined'!F104-'Discom Combined'!F119-'Discom Combined'!F123)*0.2724</f>
        <v>736.4878799999999</v>
      </c>
      <c r="G92" s="148">
        <f>('Delhi SummerApr-Sep'!G77+'Delhi SummerApr-Sep'!G81-'Discom Combined'!G81-'Discom Combined'!G93-'Discom Combined'!G104-'Discom Combined'!G119-'Discom Combined'!G123)*0.2724</f>
        <v>743.0254799999999</v>
      </c>
      <c r="H92" s="123">
        <f>('Delhi SummerApr-Sep'!H77+'Delhi SummerApr-Sep'!H81-'Discom Combined'!H81-'Discom Combined'!H93-'Discom Combined'!H104-'Discom Combined'!H119-'Discom Combined'!H123)*0.2724</f>
        <v>673.8358799999999</v>
      </c>
      <c r="I92" s="200">
        <f>('Delhi SummerApr-Sep'!I77+'Delhi SummerApr-Sep'!I81-'Discom Combined'!I81-'Discom Combined'!I93-'Discom Combined'!I104-'Discom Combined'!I119-'Discom Combined'!I123)*0.2724</f>
        <v>748.0103999999999</v>
      </c>
      <c r="J92" s="76">
        <f>('Delhi SummerApr-Sep'!J77+'Delhi SummerApr-Sep'!J81-'Discom Combined'!J81-'Discom Combined'!J93-'Discom Combined'!J104-'Discom Combined'!J119-'Discom Combined'!J123)*0.2724</f>
        <v>754.5479999999999</v>
      </c>
      <c r="K92" s="123">
        <f>('Delhi SummerApr-Sep'!K77+'Delhi SummerApr-Sep'!K81-'Discom Combined'!K81-'Discom Combined'!K93-'Discom Combined'!K104-'Discom Combined'!K119-'Discom Combined'!K123)*0.2724</f>
        <v>685.3584</v>
      </c>
      <c r="L92" s="76">
        <f>('Delhi SummerApr-Sep'!L77+'Delhi SummerApr-Sep'!L81-'Discom Combined'!L81-'Discom Combined'!L93-'Discom Combined'!L104-'Discom Combined'!L119-'Discom Combined'!L123)*0.2724</f>
        <v>748.0103999999999</v>
      </c>
      <c r="M92" s="148">
        <f>('Delhi SummerApr-Sep'!M77+'Delhi SummerApr-Sep'!M81-'Discom Combined'!M81-'Discom Combined'!M93-'Discom Combined'!M104-'Discom Combined'!M119-'Discom Combined'!M123)*0.2724</f>
        <v>754.5479999999999</v>
      </c>
      <c r="N92" s="76">
        <f>('Delhi SummerApr-Sep'!N77+'Delhi SummerApr-Sep'!N81-'Discom Combined'!N81-'Discom Combined'!N93-'Discom Combined'!N104-'Discom Combined'!N119-'Discom Combined'!N123)*0.2724</f>
        <v>685.3584</v>
      </c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61">
        <v>2</v>
      </c>
      <c r="B93" s="122" t="s">
        <v>47</v>
      </c>
      <c r="C93" s="76">
        <f>(266*((2393-154)/2393))*0.55</f>
        <v>136.8849561220226</v>
      </c>
      <c r="D93" s="76">
        <f>(266*((2393-154)/2393))*0.55</f>
        <v>136.8849561220226</v>
      </c>
      <c r="E93" s="76">
        <f>(266*((2393-154)/2393))*0.55</f>
        <v>136.8849561220226</v>
      </c>
      <c r="F93" s="76">
        <f aca="true" t="shared" si="23" ref="F93:N93">(266*((2393-0)/2393))*0.55</f>
        <v>146.3</v>
      </c>
      <c r="G93" s="148">
        <f t="shared" si="23"/>
        <v>146.3</v>
      </c>
      <c r="H93" s="123">
        <f t="shared" si="23"/>
        <v>146.3</v>
      </c>
      <c r="I93" s="200">
        <f t="shared" si="23"/>
        <v>146.3</v>
      </c>
      <c r="J93" s="76">
        <f t="shared" si="23"/>
        <v>146.3</v>
      </c>
      <c r="K93" s="123">
        <f t="shared" si="23"/>
        <v>146.3</v>
      </c>
      <c r="L93" s="76">
        <f t="shared" si="23"/>
        <v>146.3</v>
      </c>
      <c r="M93" s="148">
        <f t="shared" si="23"/>
        <v>146.3</v>
      </c>
      <c r="N93" s="76">
        <f t="shared" si="23"/>
        <v>146.3</v>
      </c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2.75">
      <c r="A94" s="61">
        <v>3</v>
      </c>
      <c r="B94" s="167" t="s">
        <v>48</v>
      </c>
      <c r="C94" s="76">
        <f>'Delhi SummerApr-Sep'!C83*0.2724</f>
        <v>57.63984</v>
      </c>
      <c r="D94" s="148">
        <f>'Delhi SummerApr-Sep'!D83*0.2724</f>
        <v>57.63984</v>
      </c>
      <c r="E94" s="123">
        <f>'Delhi SummerApr-Sep'!E83*0.2724</f>
        <v>57.63984</v>
      </c>
      <c r="F94" s="76">
        <f>'Delhi SummerApr-Sep'!F83*0.2724</f>
        <v>57.63984</v>
      </c>
      <c r="G94" s="148">
        <f>'Delhi SummerApr-Sep'!G83*0.2724</f>
        <v>57.63984</v>
      </c>
      <c r="H94" s="123">
        <f>'Delhi SummerApr-Sep'!H83*0.2724</f>
        <v>57.63984</v>
      </c>
      <c r="I94" s="200">
        <f>'Delhi SummerApr-Sep'!I83*0.2724</f>
        <v>57.63984</v>
      </c>
      <c r="J94" s="76">
        <f>'Delhi SummerApr-Sep'!J83*0.2724</f>
        <v>57.63984</v>
      </c>
      <c r="K94" s="123">
        <f>'Delhi SummerApr-Sep'!K83*0.2724</f>
        <v>57.63984</v>
      </c>
      <c r="L94" s="76">
        <f>'Delhi SummerApr-Sep'!L83*0.2724</f>
        <v>57.63984</v>
      </c>
      <c r="M94" s="148">
        <f>'Delhi SummerApr-Sep'!M83*0.2724</f>
        <v>57.63984</v>
      </c>
      <c r="N94" s="76">
        <f>'Delhi SummerApr-Sep'!N83*0.2724</f>
        <v>57.63984</v>
      </c>
      <c r="O94" s="17"/>
      <c r="P94" s="17"/>
      <c r="Q94" s="17"/>
      <c r="R94" s="17"/>
      <c r="S94" s="17"/>
      <c r="T94" s="17"/>
      <c r="U94" s="17"/>
      <c r="V94" s="17"/>
      <c r="W94" s="17"/>
    </row>
    <row r="95" spans="1:14" ht="14.25" customHeight="1">
      <c r="A95" s="216">
        <v>4</v>
      </c>
      <c r="B95" s="33" t="s">
        <v>113</v>
      </c>
      <c r="C95" s="204">
        <v>96</v>
      </c>
      <c r="D95" s="204">
        <v>96</v>
      </c>
      <c r="E95" s="204">
        <v>96</v>
      </c>
      <c r="F95" s="204">
        <v>96</v>
      </c>
      <c r="G95" s="204">
        <v>96</v>
      </c>
      <c r="H95" s="204">
        <v>96</v>
      </c>
      <c r="I95" s="59">
        <f aca="true" t="shared" si="24" ref="I95:N95">80*0.96</f>
        <v>76.8</v>
      </c>
      <c r="J95" s="59">
        <f t="shared" si="24"/>
        <v>76.8</v>
      </c>
      <c r="K95" s="59">
        <f t="shared" si="24"/>
        <v>76.8</v>
      </c>
      <c r="L95" s="59">
        <f t="shared" si="24"/>
        <v>76.8</v>
      </c>
      <c r="M95" s="59">
        <f t="shared" si="24"/>
        <v>76.8</v>
      </c>
      <c r="N95" s="59">
        <f t="shared" si="24"/>
        <v>76.8</v>
      </c>
    </row>
    <row r="96" spans="1:14" ht="14.25" customHeight="1">
      <c r="A96" s="216">
        <v>5</v>
      </c>
      <c r="B96" s="33" t="s">
        <v>106</v>
      </c>
      <c r="C96" s="204">
        <v>0</v>
      </c>
      <c r="D96" s="204">
        <v>0</v>
      </c>
      <c r="E96" s="204">
        <v>0</v>
      </c>
      <c r="F96" s="204">
        <v>0</v>
      </c>
      <c r="G96" s="204">
        <v>0</v>
      </c>
      <c r="H96" s="204">
        <v>0</v>
      </c>
      <c r="I96" s="204">
        <v>92</v>
      </c>
      <c r="J96" s="204">
        <v>92</v>
      </c>
      <c r="K96" s="204">
        <v>92</v>
      </c>
      <c r="L96" s="204">
        <v>92</v>
      </c>
      <c r="M96" s="204">
        <v>92</v>
      </c>
      <c r="N96" s="204">
        <v>92</v>
      </c>
    </row>
    <row r="97" spans="1:14" ht="14.25" customHeight="1">
      <c r="A97" s="216">
        <v>6</v>
      </c>
      <c r="B97" s="33" t="s">
        <v>107</v>
      </c>
      <c r="C97" s="204">
        <v>0</v>
      </c>
      <c r="D97" s="204">
        <v>0</v>
      </c>
      <c r="E97" s="204">
        <v>0</v>
      </c>
      <c r="F97" s="204">
        <v>0</v>
      </c>
      <c r="G97" s="204">
        <v>0</v>
      </c>
      <c r="H97" s="204">
        <v>0</v>
      </c>
      <c r="I97" s="204">
        <v>92</v>
      </c>
      <c r="J97" s="204">
        <v>92</v>
      </c>
      <c r="K97" s="204">
        <v>92</v>
      </c>
      <c r="L97" s="204">
        <v>92</v>
      </c>
      <c r="M97" s="204">
        <v>92</v>
      </c>
      <c r="N97" s="204">
        <v>92</v>
      </c>
    </row>
    <row r="98" spans="1:23" ht="13.5" thickBot="1">
      <c r="A98" s="34">
        <v>7</v>
      </c>
      <c r="B98" s="136" t="s">
        <v>49</v>
      </c>
      <c r="C98" s="168">
        <f>SUM(C92:C97)</f>
        <v>1008.6298778149032</v>
      </c>
      <c r="D98" s="168">
        <f aca="true" t="shared" si="25" ref="D98:N98">SUM(D92:D97)</f>
        <v>1015.1674778149032</v>
      </c>
      <c r="E98" s="168">
        <f t="shared" si="25"/>
        <v>945.9778778149033</v>
      </c>
      <c r="F98" s="168">
        <f t="shared" si="25"/>
        <v>1036.42772</v>
      </c>
      <c r="G98" s="168">
        <f t="shared" si="25"/>
        <v>1042.96532</v>
      </c>
      <c r="H98" s="168">
        <f t="shared" si="25"/>
        <v>973.7757199999999</v>
      </c>
      <c r="I98" s="168">
        <f t="shared" si="25"/>
        <v>1212.7502399999998</v>
      </c>
      <c r="J98" s="168">
        <f t="shared" si="25"/>
        <v>1219.28784</v>
      </c>
      <c r="K98" s="168">
        <f t="shared" si="25"/>
        <v>1150.09824</v>
      </c>
      <c r="L98" s="168">
        <f t="shared" si="25"/>
        <v>1212.7502399999998</v>
      </c>
      <c r="M98" s="168">
        <f t="shared" si="25"/>
        <v>1219.28784</v>
      </c>
      <c r="N98" s="168">
        <f t="shared" si="25"/>
        <v>1150.09824</v>
      </c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3.5" thickBot="1">
      <c r="A99" s="81"/>
      <c r="B99" s="125" t="s">
        <v>94</v>
      </c>
      <c r="C99" s="109">
        <f aca="true" t="shared" si="26" ref="C99:N99">+C98-C90</f>
        <v>-6.060122185096702</v>
      </c>
      <c r="D99" s="208">
        <f t="shared" si="26"/>
        <v>-13.142522185096709</v>
      </c>
      <c r="E99" s="73">
        <f t="shared" si="26"/>
        <v>11.645877814903429</v>
      </c>
      <c r="F99" s="109">
        <f t="shared" si="26"/>
        <v>-59.982279999999946</v>
      </c>
      <c r="G99" s="208">
        <f t="shared" si="26"/>
        <v>-26.204679999999826</v>
      </c>
      <c r="H99" s="73">
        <f t="shared" si="26"/>
        <v>12.203719999999976</v>
      </c>
      <c r="I99" s="78">
        <f t="shared" si="26"/>
        <v>102.72023999999988</v>
      </c>
      <c r="J99" s="71">
        <f t="shared" si="26"/>
        <v>136.49784</v>
      </c>
      <c r="K99" s="73">
        <f t="shared" si="26"/>
        <v>202.14624000000015</v>
      </c>
      <c r="L99" s="71">
        <f t="shared" si="26"/>
        <v>75.48023999999987</v>
      </c>
      <c r="M99" s="79">
        <f t="shared" si="26"/>
        <v>136.49784</v>
      </c>
      <c r="N99" s="71">
        <f t="shared" si="26"/>
        <v>161.28624000000013</v>
      </c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 thickBot="1">
      <c r="A100" s="456" t="s">
        <v>51</v>
      </c>
      <c r="B100" s="457"/>
      <c r="C100" s="71"/>
      <c r="D100" s="79"/>
      <c r="E100" s="73"/>
      <c r="F100" s="71"/>
      <c r="G100" s="79"/>
      <c r="H100" s="73"/>
      <c r="I100" s="78"/>
      <c r="J100" s="71"/>
      <c r="K100" s="73"/>
      <c r="L100" s="71"/>
      <c r="M100" s="79"/>
      <c r="N100" s="71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2.75">
      <c r="A101" s="172" t="s">
        <v>95</v>
      </c>
      <c r="B101" s="173" t="s">
        <v>52</v>
      </c>
      <c r="C101" s="82">
        <f aca="true" t="shared" si="27" ref="C101:N101">+C76*0.4358</f>
        <v>1623.355</v>
      </c>
      <c r="D101" s="149">
        <f t="shared" si="27"/>
        <v>1645.145</v>
      </c>
      <c r="E101" s="124">
        <f t="shared" si="27"/>
        <v>1494.794</v>
      </c>
      <c r="F101" s="82">
        <f t="shared" si="27"/>
        <v>1754.095</v>
      </c>
      <c r="G101" s="149">
        <f t="shared" si="27"/>
        <v>1710.515</v>
      </c>
      <c r="H101" s="124">
        <f t="shared" si="27"/>
        <v>1538.374</v>
      </c>
      <c r="I101" s="202">
        <f t="shared" si="27"/>
        <v>1775.885</v>
      </c>
      <c r="J101" s="82">
        <f t="shared" si="27"/>
        <v>1732.305</v>
      </c>
      <c r="K101" s="124">
        <f t="shared" si="27"/>
        <v>1516.584</v>
      </c>
      <c r="L101" s="82">
        <f t="shared" si="27"/>
        <v>1819.4650000000001</v>
      </c>
      <c r="M101" s="149">
        <f t="shared" si="27"/>
        <v>1732.305</v>
      </c>
      <c r="N101" s="82">
        <f t="shared" si="27"/>
        <v>1581.9540000000002</v>
      </c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2.75">
      <c r="A102" s="61"/>
      <c r="B102" s="120" t="s">
        <v>53</v>
      </c>
      <c r="C102" s="76"/>
      <c r="D102" s="83"/>
      <c r="E102" s="123"/>
      <c r="F102" s="76"/>
      <c r="G102" s="83"/>
      <c r="H102" s="123"/>
      <c r="I102" s="200"/>
      <c r="J102" s="76"/>
      <c r="K102" s="123"/>
      <c r="L102" s="76"/>
      <c r="M102" s="83"/>
      <c r="N102" s="76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2.75">
      <c r="A103" s="218">
        <v>1</v>
      </c>
      <c r="B103" s="122" t="s">
        <v>46</v>
      </c>
      <c r="C103" s="76">
        <f>('Delhi SummerApr-Sep'!C77+'Delhi SummerApr-Sep'!C81-'Discom Combined'!C81-'Discom Combined'!C93-'Discom Combined'!C104-'Discom Combined'!C119-'Discom Combined'!C123)*0.4358</f>
        <v>1148.8626820916206</v>
      </c>
      <c r="D103" s="148">
        <f>('Delhi SummerApr-Sep'!D77+'Delhi SummerApr-Sep'!D81-'Discom Combined'!D81-'Discom Combined'!D93-'Discom Combined'!D104-'Discom Combined'!D119-'Discom Combined'!D123)*0.4358</f>
        <v>1159.3218820916206</v>
      </c>
      <c r="E103" s="123">
        <f>('Delhi SummerApr-Sep'!E77+'Delhi SummerApr-Sep'!E81-'Discom Combined'!E81-'Discom Combined'!E93-'Discom Combined'!E104-'Discom Combined'!E119-'Discom Combined'!E123)*0.4358</f>
        <v>1048.6286820916205</v>
      </c>
      <c r="F103" s="76">
        <f>('Delhi SummerApr-Sep'!F77+'Delhi SummerApr-Sep'!F81-'Discom Combined'!F81-'Discom Combined'!F93-'Discom Combined'!F104-'Discom Combined'!F119-'Discom Combined'!F123)*0.4358</f>
        <v>1178.27246</v>
      </c>
      <c r="G103" s="148">
        <f>('Delhi SummerApr-Sep'!G77+'Delhi SummerApr-Sep'!G81-'Discom Combined'!G81-'Discom Combined'!G93-'Discom Combined'!G104-'Discom Combined'!G119-'Discom Combined'!G123)*0.4358</f>
        <v>1188.73166</v>
      </c>
      <c r="H103" s="123">
        <f>('Delhi SummerApr-Sep'!H77+'Delhi SummerApr-Sep'!H81-'Discom Combined'!H81-'Discom Combined'!H93-'Discom Combined'!H104-'Discom Combined'!H119-'Discom Combined'!H123)*0.4358</f>
        <v>1078.03846</v>
      </c>
      <c r="I103" s="200">
        <f>('Delhi SummerApr-Sep'!I77+'Delhi SummerApr-Sep'!I81-'Discom Combined'!I81-'Discom Combined'!I93-'Discom Combined'!I104-'Discom Combined'!I119-'Discom Combined'!I123)*0.4358</f>
        <v>1196.7068000000002</v>
      </c>
      <c r="J103" s="76">
        <f>('Delhi SummerApr-Sep'!J77+'Delhi SummerApr-Sep'!J81-'Discom Combined'!J81-'Discom Combined'!J93-'Discom Combined'!J104-'Discom Combined'!J119-'Discom Combined'!J123)*0.4358</f>
        <v>1207.1660000000002</v>
      </c>
      <c r="K103" s="123">
        <f>('Delhi SummerApr-Sep'!K77+'Delhi SummerApr-Sep'!K81-'Discom Combined'!K81-'Discom Combined'!K93-'Discom Combined'!K104-'Discom Combined'!K119-'Discom Combined'!K123)*0.4358</f>
        <v>1096.4728</v>
      </c>
      <c r="L103" s="76">
        <f>('Delhi SummerApr-Sep'!L77+'Delhi SummerApr-Sep'!L81-'Discom Combined'!L81-'Discom Combined'!L93-'Discom Combined'!L104-'Discom Combined'!L119-'Discom Combined'!L123)*0.4358</f>
        <v>1196.7068000000002</v>
      </c>
      <c r="M103" s="148">
        <f>('Delhi SummerApr-Sep'!M77+'Delhi SummerApr-Sep'!M81-'Discom Combined'!M81-'Discom Combined'!M93-'Discom Combined'!M104-'Discom Combined'!M119-'Discom Combined'!M123)*0.4358</f>
        <v>1207.1660000000002</v>
      </c>
      <c r="N103" s="76">
        <f>('Delhi SummerApr-Sep'!N77+'Delhi SummerApr-Sep'!N81-'Discom Combined'!N81-'Discom Combined'!N93-'Discom Combined'!N104-'Discom Combined'!N119-'Discom Combined'!N123)*0.4358</f>
        <v>1096.4728</v>
      </c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2.75">
      <c r="A104" s="218">
        <v>2</v>
      </c>
      <c r="B104" s="122" t="s">
        <v>47</v>
      </c>
      <c r="C104" s="76">
        <f>(266*((2393-154)/2393))*0.1+C118</f>
        <v>65.27335902555294</v>
      </c>
      <c r="D104" s="76">
        <f>(266*((2393-154)/2393))*0.1+D118</f>
        <v>65.27335902555294</v>
      </c>
      <c r="E104" s="76">
        <f>(266*((2393-154)/2393))*0.1+E118</f>
        <v>65.27335902555294</v>
      </c>
      <c r="F104" s="76">
        <f aca="true" t="shared" si="28" ref="F104:N104">(266*((2393-0)/2393))*0.1+F118</f>
        <v>73.6</v>
      </c>
      <c r="G104" s="148">
        <f t="shared" si="28"/>
        <v>73.6</v>
      </c>
      <c r="H104" s="123">
        <f t="shared" si="28"/>
        <v>73.6</v>
      </c>
      <c r="I104" s="200">
        <f t="shared" si="28"/>
        <v>73.6</v>
      </c>
      <c r="J104" s="76">
        <f t="shared" si="28"/>
        <v>73.6</v>
      </c>
      <c r="K104" s="123">
        <f t="shared" si="28"/>
        <v>73.6</v>
      </c>
      <c r="L104" s="76">
        <f t="shared" si="28"/>
        <v>73.6</v>
      </c>
      <c r="M104" s="148">
        <f t="shared" si="28"/>
        <v>73.6</v>
      </c>
      <c r="N104" s="76">
        <f t="shared" si="28"/>
        <v>73.6</v>
      </c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>
      <c r="A105" s="218">
        <v>3</v>
      </c>
      <c r="B105" s="217" t="s">
        <v>48</v>
      </c>
      <c r="C105" s="76">
        <f>'Delhi SummerApr-Sep'!C83*0.4358</f>
        <v>92.21528000000002</v>
      </c>
      <c r="D105" s="148">
        <f>'Delhi SummerApr-Sep'!D83*0.4358</f>
        <v>92.21528000000002</v>
      </c>
      <c r="E105" s="123">
        <f>'Delhi SummerApr-Sep'!E83*0.4358</f>
        <v>92.21528000000002</v>
      </c>
      <c r="F105" s="76">
        <f>'Delhi SummerApr-Sep'!F83*0.4358</f>
        <v>92.21528000000002</v>
      </c>
      <c r="G105" s="148">
        <f>'Delhi SummerApr-Sep'!G83*0.4358</f>
        <v>92.21528000000002</v>
      </c>
      <c r="H105" s="123">
        <f>'Delhi SummerApr-Sep'!H83*0.4358</f>
        <v>92.21528000000002</v>
      </c>
      <c r="I105" s="200">
        <f>'Delhi SummerApr-Sep'!I83*0.4358</f>
        <v>92.21528000000002</v>
      </c>
      <c r="J105" s="76">
        <f>'Delhi SummerApr-Sep'!J83*0.4358</f>
        <v>92.21528000000002</v>
      </c>
      <c r="K105" s="123">
        <f>'Delhi SummerApr-Sep'!K83*0.4358</f>
        <v>92.21528000000002</v>
      </c>
      <c r="L105" s="76">
        <f>'Delhi SummerApr-Sep'!L83*0.4358</f>
        <v>92.21528000000002</v>
      </c>
      <c r="M105" s="148">
        <f>'Delhi SummerApr-Sep'!M83*0.4358</f>
        <v>92.21528000000002</v>
      </c>
      <c r="N105" s="76">
        <f>'Delhi SummerApr-Sep'!N83*0.4358</f>
        <v>92.21528000000002</v>
      </c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14" ht="14.25" customHeight="1">
      <c r="A106" s="216">
        <v>4</v>
      </c>
      <c r="B106" s="33" t="s">
        <v>114</v>
      </c>
      <c r="C106" s="59">
        <f aca="true" t="shared" si="29" ref="C106:H106">60*0.96</f>
        <v>57.599999999999994</v>
      </c>
      <c r="D106" s="59">
        <f t="shared" si="29"/>
        <v>57.599999999999994</v>
      </c>
      <c r="E106" s="59">
        <f t="shared" si="29"/>
        <v>57.599999999999994</v>
      </c>
      <c r="F106" s="59">
        <f t="shared" si="29"/>
        <v>57.599999999999994</v>
      </c>
      <c r="G106" s="59">
        <f t="shared" si="29"/>
        <v>57.599999999999994</v>
      </c>
      <c r="H106" s="59">
        <f t="shared" si="29"/>
        <v>57.599999999999994</v>
      </c>
      <c r="I106" s="59">
        <f aca="true" t="shared" si="30" ref="I106:N106">65*0.96</f>
        <v>62.4</v>
      </c>
      <c r="J106" s="59">
        <f t="shared" si="30"/>
        <v>62.4</v>
      </c>
      <c r="K106" s="59">
        <f t="shared" si="30"/>
        <v>62.4</v>
      </c>
      <c r="L106" s="59">
        <f t="shared" si="30"/>
        <v>62.4</v>
      </c>
      <c r="M106" s="59">
        <f t="shared" si="30"/>
        <v>62.4</v>
      </c>
      <c r="N106" s="59">
        <f t="shared" si="30"/>
        <v>62.4</v>
      </c>
    </row>
    <row r="107" spans="1:14" ht="14.25" customHeight="1">
      <c r="A107" s="216">
        <v>5</v>
      </c>
      <c r="B107" s="33" t="s">
        <v>108</v>
      </c>
      <c r="C107" s="204">
        <v>0</v>
      </c>
      <c r="D107" s="204">
        <v>0</v>
      </c>
      <c r="E107" s="204">
        <v>0</v>
      </c>
      <c r="F107" s="204">
        <v>0</v>
      </c>
      <c r="G107" s="204">
        <v>0</v>
      </c>
      <c r="H107" s="204">
        <v>0</v>
      </c>
      <c r="I107" s="59">
        <f aca="true" t="shared" si="31" ref="I107:N107">30*0.92</f>
        <v>27.6</v>
      </c>
      <c r="J107" s="59">
        <f t="shared" si="31"/>
        <v>27.6</v>
      </c>
      <c r="K107" s="59">
        <f t="shared" si="31"/>
        <v>27.6</v>
      </c>
      <c r="L107" s="59">
        <f t="shared" si="31"/>
        <v>27.6</v>
      </c>
      <c r="M107" s="59">
        <f t="shared" si="31"/>
        <v>27.6</v>
      </c>
      <c r="N107" s="59">
        <f t="shared" si="31"/>
        <v>27.6</v>
      </c>
    </row>
    <row r="108" spans="1:14" ht="14.25" customHeight="1">
      <c r="A108" s="216">
        <v>6</v>
      </c>
      <c r="B108" s="33" t="s">
        <v>109</v>
      </c>
      <c r="C108" s="59">
        <v>92</v>
      </c>
      <c r="D108" s="59">
        <v>92</v>
      </c>
      <c r="E108" s="59">
        <v>92</v>
      </c>
      <c r="F108" s="59">
        <v>92</v>
      </c>
      <c r="G108" s="59">
        <v>92</v>
      </c>
      <c r="H108" s="59">
        <v>92</v>
      </c>
      <c r="I108" s="59">
        <v>92</v>
      </c>
      <c r="J108" s="59">
        <v>92</v>
      </c>
      <c r="K108" s="59">
        <v>92</v>
      </c>
      <c r="L108" s="59">
        <v>92</v>
      </c>
      <c r="M108" s="59">
        <v>92</v>
      </c>
      <c r="N108" s="59">
        <v>92</v>
      </c>
    </row>
    <row r="109" spans="1:14" ht="14.25" customHeight="1">
      <c r="A109" s="216">
        <v>7</v>
      </c>
      <c r="B109" s="33" t="s">
        <v>110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f aca="true" t="shared" si="32" ref="I109:N109">87*0.92</f>
        <v>80.04</v>
      </c>
      <c r="J109" s="59">
        <f t="shared" si="32"/>
        <v>80.04</v>
      </c>
      <c r="K109" s="59">
        <f t="shared" si="32"/>
        <v>80.04</v>
      </c>
      <c r="L109" s="59">
        <f t="shared" si="32"/>
        <v>80.04</v>
      </c>
      <c r="M109" s="59">
        <f t="shared" si="32"/>
        <v>80.04</v>
      </c>
      <c r="N109" s="59">
        <f t="shared" si="32"/>
        <v>80.04</v>
      </c>
    </row>
    <row r="110" spans="1:14" ht="14.25" customHeight="1">
      <c r="A110" s="216">
        <v>8</v>
      </c>
      <c r="B110" s="33" t="s">
        <v>105</v>
      </c>
      <c r="C110" s="204">
        <v>0</v>
      </c>
      <c r="D110" s="204">
        <v>0</v>
      </c>
      <c r="E110" s="204">
        <v>0</v>
      </c>
      <c r="F110" s="204">
        <v>0</v>
      </c>
      <c r="G110" s="204">
        <v>0</v>
      </c>
      <c r="H110" s="204">
        <v>0</v>
      </c>
      <c r="I110" s="204">
        <v>92</v>
      </c>
      <c r="J110" s="204">
        <v>92</v>
      </c>
      <c r="K110" s="204">
        <v>92</v>
      </c>
      <c r="L110" s="204">
        <v>92</v>
      </c>
      <c r="M110" s="204">
        <v>92</v>
      </c>
      <c r="N110" s="204">
        <v>92</v>
      </c>
    </row>
    <row r="111" spans="1:14" ht="14.25" customHeight="1">
      <c r="A111" s="216">
        <v>9</v>
      </c>
      <c r="B111" s="33" t="s">
        <v>199</v>
      </c>
      <c r="C111" s="59">
        <v>22</v>
      </c>
      <c r="D111" s="59">
        <v>22</v>
      </c>
      <c r="E111" s="59">
        <v>22</v>
      </c>
      <c r="F111" s="59">
        <v>22</v>
      </c>
      <c r="G111" s="59">
        <v>22</v>
      </c>
      <c r="H111" s="59">
        <v>22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</row>
    <row r="112" spans="1:14" ht="14.25" customHeight="1">
      <c r="A112" s="216">
        <v>10</v>
      </c>
      <c r="B112" s="33" t="s">
        <v>104</v>
      </c>
      <c r="C112" s="204">
        <v>0</v>
      </c>
      <c r="D112" s="204">
        <v>0</v>
      </c>
      <c r="E112" s="204">
        <v>0</v>
      </c>
      <c r="F112" s="204">
        <v>0</v>
      </c>
      <c r="G112" s="204">
        <v>0</v>
      </c>
      <c r="H112" s="204">
        <v>0</v>
      </c>
      <c r="I112" s="204">
        <v>92</v>
      </c>
      <c r="J112" s="204">
        <v>92</v>
      </c>
      <c r="K112" s="204">
        <v>92</v>
      </c>
      <c r="L112" s="204">
        <v>92</v>
      </c>
      <c r="M112" s="204">
        <v>92</v>
      </c>
      <c r="N112" s="204">
        <v>92</v>
      </c>
    </row>
    <row r="113" spans="1:23" ht="13.5" thickBot="1">
      <c r="A113" s="34">
        <v>11</v>
      </c>
      <c r="B113" s="136" t="s">
        <v>49</v>
      </c>
      <c r="C113" s="168">
        <f>SUM(C103:C112)</f>
        <v>1477.9513211171736</v>
      </c>
      <c r="D113" s="168">
        <f aca="true" t="shared" si="33" ref="D113:N113">SUM(D103:D112)</f>
        <v>1488.4105211171736</v>
      </c>
      <c r="E113" s="168">
        <f t="shared" si="33"/>
        <v>1377.7173211171735</v>
      </c>
      <c r="F113" s="168">
        <f t="shared" si="33"/>
        <v>1515.6877399999998</v>
      </c>
      <c r="G113" s="168">
        <f t="shared" si="33"/>
        <v>1526.1469399999999</v>
      </c>
      <c r="H113" s="168">
        <f t="shared" si="33"/>
        <v>1415.45374</v>
      </c>
      <c r="I113" s="168">
        <f t="shared" si="33"/>
        <v>1808.5620800000002</v>
      </c>
      <c r="J113" s="168">
        <f t="shared" si="33"/>
        <v>1819.0212800000002</v>
      </c>
      <c r="K113" s="168">
        <f t="shared" si="33"/>
        <v>1708.32808</v>
      </c>
      <c r="L113" s="168">
        <f t="shared" si="33"/>
        <v>1808.5620800000002</v>
      </c>
      <c r="M113" s="168">
        <f t="shared" si="33"/>
        <v>1819.0212800000002</v>
      </c>
      <c r="N113" s="168">
        <f t="shared" si="33"/>
        <v>1708.32808</v>
      </c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3.5" thickBot="1">
      <c r="A114" s="81"/>
      <c r="B114" s="125" t="s">
        <v>96</v>
      </c>
      <c r="C114" s="109">
        <f aca="true" t="shared" si="34" ref="C114:N114">+C113-C101</f>
        <v>-145.4036788828264</v>
      </c>
      <c r="D114" s="208">
        <f t="shared" si="34"/>
        <v>-156.73447888282635</v>
      </c>
      <c r="E114" s="210">
        <f t="shared" si="34"/>
        <v>-117.07667888282663</v>
      </c>
      <c r="F114" s="109">
        <f t="shared" si="34"/>
        <v>-238.40726000000018</v>
      </c>
      <c r="G114" s="208">
        <f t="shared" si="34"/>
        <v>-184.36806000000024</v>
      </c>
      <c r="H114" s="210">
        <f t="shared" si="34"/>
        <v>-122.9202600000001</v>
      </c>
      <c r="I114" s="78">
        <f t="shared" si="34"/>
        <v>32.67708000000016</v>
      </c>
      <c r="J114" s="71">
        <f t="shared" si="34"/>
        <v>86.7162800000001</v>
      </c>
      <c r="K114" s="73">
        <f t="shared" si="34"/>
        <v>191.74407999999994</v>
      </c>
      <c r="L114" s="109">
        <f t="shared" si="34"/>
        <v>-10.902919999999995</v>
      </c>
      <c r="M114" s="79">
        <f t="shared" si="34"/>
        <v>86.7162800000001</v>
      </c>
      <c r="N114" s="71">
        <f t="shared" si="34"/>
        <v>126.37407999999982</v>
      </c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7.25" customHeight="1" thickBot="1">
      <c r="A115" s="458" t="s">
        <v>57</v>
      </c>
      <c r="B115" s="459"/>
      <c r="C115" s="71"/>
      <c r="D115" s="79"/>
      <c r="E115" s="73"/>
      <c r="F115" s="71"/>
      <c r="G115" s="79"/>
      <c r="H115" s="73"/>
      <c r="I115" s="78"/>
      <c r="J115" s="71"/>
      <c r="K115" s="73"/>
      <c r="L115" s="71"/>
      <c r="M115" s="79"/>
      <c r="N115" s="71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2.75">
      <c r="A116" s="172" t="s">
        <v>97</v>
      </c>
      <c r="B116" s="173" t="s">
        <v>58</v>
      </c>
      <c r="C116" s="161">
        <v>290</v>
      </c>
      <c r="D116" s="174">
        <v>240</v>
      </c>
      <c r="E116" s="163">
        <v>190</v>
      </c>
      <c r="F116" s="161">
        <v>290</v>
      </c>
      <c r="G116" s="174">
        <v>240</v>
      </c>
      <c r="H116" s="163">
        <v>190</v>
      </c>
      <c r="I116" s="197">
        <v>290</v>
      </c>
      <c r="J116" s="161">
        <v>240</v>
      </c>
      <c r="K116" s="163">
        <v>190</v>
      </c>
      <c r="L116" s="161">
        <v>290</v>
      </c>
      <c r="M116" s="174">
        <v>240</v>
      </c>
      <c r="N116" s="161">
        <v>190</v>
      </c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2.75">
      <c r="A117" s="61"/>
      <c r="B117" s="122" t="s">
        <v>88</v>
      </c>
      <c r="C117" s="76">
        <f>+(((113*((705-0)/705)+(107*((840-0)/840))+(95*((330-154)/330)))))</f>
        <v>270.6666666666667</v>
      </c>
      <c r="D117" s="76">
        <f>+(((113*((705-0)/705)+(107*((840-0)/840))+(95*((330-154)/330)))))</f>
        <v>270.6666666666667</v>
      </c>
      <c r="E117" s="76">
        <f>+(((113*((705-0)/705)+(107*((840-0)/840))+(95*((330-154)/330)))))</f>
        <v>270.6666666666667</v>
      </c>
      <c r="F117" s="76">
        <f aca="true" t="shared" si="35" ref="F117:N117">+(((113*((705-0)/705)+(107*((840-0)/840))+(95*((330-0)/330)))))</f>
        <v>315</v>
      </c>
      <c r="G117" s="148">
        <f t="shared" si="35"/>
        <v>315</v>
      </c>
      <c r="H117" s="123">
        <f t="shared" si="35"/>
        <v>315</v>
      </c>
      <c r="I117" s="200">
        <f t="shared" si="35"/>
        <v>315</v>
      </c>
      <c r="J117" s="76">
        <f t="shared" si="35"/>
        <v>315</v>
      </c>
      <c r="K117" s="123">
        <f t="shared" si="35"/>
        <v>315</v>
      </c>
      <c r="L117" s="76">
        <f t="shared" si="35"/>
        <v>315</v>
      </c>
      <c r="M117" s="148">
        <f t="shared" si="35"/>
        <v>315</v>
      </c>
      <c r="N117" s="76">
        <f t="shared" si="35"/>
        <v>315</v>
      </c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2.75">
      <c r="A118" s="80"/>
      <c r="B118" s="126" t="s">
        <v>98</v>
      </c>
      <c r="C118" s="76">
        <f aca="true" t="shared" si="36" ref="C118:N118">47*C117/315</f>
        <v>40.385185185185186</v>
      </c>
      <c r="D118" s="83">
        <f t="shared" si="36"/>
        <v>40.385185185185186</v>
      </c>
      <c r="E118" s="123">
        <f t="shared" si="36"/>
        <v>40.385185185185186</v>
      </c>
      <c r="F118" s="76">
        <f t="shared" si="36"/>
        <v>47</v>
      </c>
      <c r="G118" s="83">
        <f t="shared" si="36"/>
        <v>47</v>
      </c>
      <c r="H118" s="123">
        <f t="shared" si="36"/>
        <v>47</v>
      </c>
      <c r="I118" s="200">
        <f t="shared" si="36"/>
        <v>47</v>
      </c>
      <c r="J118" s="76">
        <f t="shared" si="36"/>
        <v>47</v>
      </c>
      <c r="K118" s="123">
        <f t="shared" si="36"/>
        <v>47</v>
      </c>
      <c r="L118" s="76">
        <f t="shared" si="36"/>
        <v>47</v>
      </c>
      <c r="M118" s="83">
        <f t="shared" si="36"/>
        <v>47</v>
      </c>
      <c r="N118" s="76">
        <f t="shared" si="36"/>
        <v>47</v>
      </c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3.5" thickBot="1">
      <c r="A119" s="34"/>
      <c r="B119" s="136" t="s">
        <v>99</v>
      </c>
      <c r="C119" s="168">
        <f aca="true" t="shared" si="37" ref="C119:N119">+C117-C118</f>
        <v>230.2814814814815</v>
      </c>
      <c r="D119" s="169">
        <f t="shared" si="37"/>
        <v>230.2814814814815</v>
      </c>
      <c r="E119" s="170">
        <f t="shared" si="37"/>
        <v>230.2814814814815</v>
      </c>
      <c r="F119" s="168">
        <f t="shared" si="37"/>
        <v>268</v>
      </c>
      <c r="G119" s="169">
        <f t="shared" si="37"/>
        <v>268</v>
      </c>
      <c r="H119" s="170">
        <f t="shared" si="37"/>
        <v>268</v>
      </c>
      <c r="I119" s="201">
        <f t="shared" si="37"/>
        <v>268</v>
      </c>
      <c r="J119" s="168">
        <f t="shared" si="37"/>
        <v>268</v>
      </c>
      <c r="K119" s="170">
        <f t="shared" si="37"/>
        <v>268</v>
      </c>
      <c r="L119" s="168">
        <f t="shared" si="37"/>
        <v>268</v>
      </c>
      <c r="M119" s="169">
        <f t="shared" si="37"/>
        <v>268</v>
      </c>
      <c r="N119" s="168">
        <f t="shared" si="37"/>
        <v>268</v>
      </c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3.5" thickBot="1">
      <c r="A120" s="81"/>
      <c r="B120" s="125" t="s">
        <v>59</v>
      </c>
      <c r="C120" s="109">
        <f aca="true" t="shared" si="38" ref="C120:N120">+C119-C116</f>
        <v>-59.71851851851849</v>
      </c>
      <c r="D120" s="208">
        <f t="shared" si="38"/>
        <v>-9.718518518518493</v>
      </c>
      <c r="E120" s="73">
        <f t="shared" si="38"/>
        <v>40.28148148148151</v>
      </c>
      <c r="F120" s="109">
        <f t="shared" si="38"/>
        <v>-22</v>
      </c>
      <c r="G120" s="79">
        <f t="shared" si="38"/>
        <v>28</v>
      </c>
      <c r="H120" s="73">
        <f t="shared" si="38"/>
        <v>78</v>
      </c>
      <c r="I120" s="211">
        <f t="shared" si="38"/>
        <v>-22</v>
      </c>
      <c r="J120" s="71">
        <f t="shared" si="38"/>
        <v>28</v>
      </c>
      <c r="K120" s="73">
        <f t="shared" si="38"/>
        <v>78</v>
      </c>
      <c r="L120" s="109">
        <f t="shared" si="38"/>
        <v>-22</v>
      </c>
      <c r="M120" s="79">
        <f t="shared" si="38"/>
        <v>28</v>
      </c>
      <c r="N120" s="71">
        <f t="shared" si="38"/>
        <v>78</v>
      </c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.75" customHeight="1" thickBot="1">
      <c r="A121" s="458" t="s">
        <v>60</v>
      </c>
      <c r="B121" s="459"/>
      <c r="C121" s="71"/>
      <c r="D121" s="79"/>
      <c r="E121" s="73"/>
      <c r="F121" s="71"/>
      <c r="G121" s="79"/>
      <c r="H121" s="73"/>
      <c r="I121" s="78"/>
      <c r="J121" s="71"/>
      <c r="K121" s="73"/>
      <c r="L121" s="71"/>
      <c r="M121" s="79"/>
      <c r="N121" s="71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2.75">
      <c r="A122" s="172" t="s">
        <v>100</v>
      </c>
      <c r="B122" s="173" t="s">
        <v>61</v>
      </c>
      <c r="C122" s="161">
        <v>35</v>
      </c>
      <c r="D122" s="174">
        <v>35</v>
      </c>
      <c r="E122" s="163">
        <v>30</v>
      </c>
      <c r="F122" s="161">
        <v>35</v>
      </c>
      <c r="G122" s="174">
        <v>35</v>
      </c>
      <c r="H122" s="163">
        <v>30</v>
      </c>
      <c r="I122" s="197">
        <v>35</v>
      </c>
      <c r="J122" s="161">
        <v>35</v>
      </c>
      <c r="K122" s="163">
        <v>30</v>
      </c>
      <c r="L122" s="161">
        <v>35</v>
      </c>
      <c r="M122" s="174">
        <v>35</v>
      </c>
      <c r="N122" s="161">
        <v>30</v>
      </c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3.5" thickBot="1">
      <c r="A123" s="34"/>
      <c r="B123" s="136" t="s">
        <v>62</v>
      </c>
      <c r="C123" s="168">
        <f>+(45*((705-95)/705))</f>
        <v>38.93617021276596</v>
      </c>
      <c r="D123" s="169">
        <f>+(45*((705-95)/705))</f>
        <v>38.93617021276596</v>
      </c>
      <c r="E123" s="170">
        <f>+(45*((705-95)/705))</f>
        <v>38.93617021276596</v>
      </c>
      <c r="F123" s="168">
        <f aca="true" t="shared" si="39" ref="F123:N123">+(45*((705-0)/705))</f>
        <v>45</v>
      </c>
      <c r="G123" s="175">
        <f t="shared" si="39"/>
        <v>45</v>
      </c>
      <c r="H123" s="170">
        <f t="shared" si="39"/>
        <v>45</v>
      </c>
      <c r="I123" s="201">
        <f t="shared" si="39"/>
        <v>45</v>
      </c>
      <c r="J123" s="168">
        <f t="shared" si="39"/>
        <v>45</v>
      </c>
      <c r="K123" s="170">
        <f t="shared" si="39"/>
        <v>45</v>
      </c>
      <c r="L123" s="168">
        <f t="shared" si="39"/>
        <v>45</v>
      </c>
      <c r="M123" s="175">
        <f t="shared" si="39"/>
        <v>45</v>
      </c>
      <c r="N123" s="168">
        <f t="shared" si="39"/>
        <v>45</v>
      </c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3.5" thickBot="1">
      <c r="A124" s="81"/>
      <c r="B124" s="102" t="s">
        <v>63</v>
      </c>
      <c r="C124" s="71">
        <f aca="true" t="shared" si="40" ref="C124:N124">+C123-C122</f>
        <v>3.9361702127659584</v>
      </c>
      <c r="D124" s="79">
        <f t="shared" si="40"/>
        <v>3.9361702127659584</v>
      </c>
      <c r="E124" s="73">
        <f t="shared" si="40"/>
        <v>8.936170212765958</v>
      </c>
      <c r="F124" s="71">
        <f t="shared" si="40"/>
        <v>10</v>
      </c>
      <c r="G124" s="79">
        <f t="shared" si="40"/>
        <v>10</v>
      </c>
      <c r="H124" s="73">
        <f t="shared" si="40"/>
        <v>15</v>
      </c>
      <c r="I124" s="78">
        <f t="shared" si="40"/>
        <v>10</v>
      </c>
      <c r="J124" s="71">
        <f t="shared" si="40"/>
        <v>10</v>
      </c>
      <c r="K124" s="73">
        <f t="shared" si="40"/>
        <v>15</v>
      </c>
      <c r="L124" s="71">
        <f t="shared" si="40"/>
        <v>10</v>
      </c>
      <c r="M124" s="79">
        <f t="shared" si="40"/>
        <v>10</v>
      </c>
      <c r="N124" s="71">
        <f t="shared" si="40"/>
        <v>15</v>
      </c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6.5" thickBot="1">
      <c r="A125" s="184"/>
      <c r="B125" s="185" t="s">
        <v>64</v>
      </c>
      <c r="C125" s="225">
        <f aca="true" t="shared" si="41" ref="C125:N125">+C124+C120+C114+C99+C88</f>
        <v>-226.10000000000002</v>
      </c>
      <c r="D125" s="226">
        <f t="shared" si="41"/>
        <v>-202.10000000000025</v>
      </c>
      <c r="E125" s="366">
        <f t="shared" si="41"/>
        <v>-56.10000000000038</v>
      </c>
      <c r="F125" s="225">
        <f t="shared" si="41"/>
        <v>-429.10000000000014</v>
      </c>
      <c r="G125" s="226">
        <f t="shared" si="41"/>
        <v>-255.10000000000014</v>
      </c>
      <c r="H125" s="366">
        <f t="shared" si="41"/>
        <v>-59.10000000000025</v>
      </c>
      <c r="I125" s="395">
        <f t="shared" si="41"/>
        <v>4.440000000000055</v>
      </c>
      <c r="J125" s="152">
        <f t="shared" si="41"/>
        <v>178.44000000000028</v>
      </c>
      <c r="K125" s="127">
        <f t="shared" si="41"/>
        <v>474.44000000000005</v>
      </c>
      <c r="L125" s="225">
        <f t="shared" si="41"/>
        <v>-95.56000000000017</v>
      </c>
      <c r="M125" s="150">
        <f t="shared" si="41"/>
        <v>178.44000000000028</v>
      </c>
      <c r="N125" s="152">
        <f t="shared" si="41"/>
        <v>324.44000000000005</v>
      </c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2.75">
      <c r="A126" s="213">
        <v>1</v>
      </c>
      <c r="B126" s="17" t="s">
        <v>204</v>
      </c>
      <c r="D126" s="12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s="1">
        <v>2</v>
      </c>
      <c r="B127" s="60" t="s">
        <v>89</v>
      </c>
      <c r="D127" s="129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>
      <c r="A128" s="1">
        <v>3</v>
      </c>
      <c r="B128" s="129" t="s">
        <v>201</v>
      </c>
      <c r="D128" s="12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2.75">
      <c r="A129" s="105">
        <v>4</v>
      </c>
      <c r="B129" s="129" t="s">
        <v>202</v>
      </c>
      <c r="D129" s="129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2:5" ht="18">
      <c r="B130" s="110" t="s">
        <v>120</v>
      </c>
      <c r="C130" s="178"/>
      <c r="E130" s="110"/>
    </row>
    <row r="131" spans="2:3" ht="15.75">
      <c r="B131" s="5" t="s">
        <v>196</v>
      </c>
      <c r="C131" s="65"/>
    </row>
    <row r="132" spans="1:17" ht="12.75">
      <c r="A132" s="66" t="s">
        <v>87</v>
      </c>
      <c r="P132" s="66"/>
      <c r="Q132" s="66"/>
    </row>
    <row r="133" spans="1:17" ht="6.75" customHeight="1">
      <c r="A133" s="66"/>
      <c r="P133" s="66"/>
      <c r="Q133" s="66"/>
    </row>
    <row r="134" spans="1:30" s="68" customFormat="1" ht="12" customHeight="1" thickBot="1">
      <c r="A134" s="67" t="s">
        <v>42</v>
      </c>
      <c r="D134" s="69"/>
      <c r="E134" s="69"/>
      <c r="L134" s="99"/>
      <c r="M134" s="4" t="s">
        <v>206</v>
      </c>
      <c r="S134" s="112"/>
      <c r="T134" s="69"/>
      <c r="U134" s="69"/>
      <c r="AC134" s="4"/>
      <c r="AD134" s="99"/>
    </row>
    <row r="135" spans="1:14" ht="13.5" customHeight="1" thickBot="1">
      <c r="A135" s="85" t="s">
        <v>37</v>
      </c>
      <c r="B135" s="186"/>
      <c r="C135" s="448" t="s">
        <v>75</v>
      </c>
      <c r="D135" s="449"/>
      <c r="E135" s="449"/>
      <c r="F135" s="449"/>
      <c r="G135" s="449"/>
      <c r="H135" s="450"/>
      <c r="I135" s="454" t="s">
        <v>76</v>
      </c>
      <c r="J135" s="449"/>
      <c r="K135" s="449"/>
      <c r="L135" s="449"/>
      <c r="M135" s="449"/>
      <c r="N135" s="450"/>
    </row>
    <row r="136" spans="1:14" ht="13.5" customHeight="1" thickBot="1">
      <c r="A136" s="86" t="s">
        <v>39</v>
      </c>
      <c r="B136" s="133" t="s">
        <v>38</v>
      </c>
      <c r="C136" s="451" t="s">
        <v>68</v>
      </c>
      <c r="D136" s="452"/>
      <c r="E136" s="453"/>
      <c r="F136" s="451" t="s">
        <v>67</v>
      </c>
      <c r="G136" s="452"/>
      <c r="H136" s="453"/>
      <c r="I136" s="455" t="s">
        <v>66</v>
      </c>
      <c r="J136" s="449"/>
      <c r="K136" s="449"/>
      <c r="L136" s="451" t="s">
        <v>67</v>
      </c>
      <c r="M136" s="449"/>
      <c r="N136" s="450"/>
    </row>
    <row r="137" spans="1:14" ht="15" customHeight="1" thickBot="1">
      <c r="A137" s="115"/>
      <c r="B137" s="153"/>
      <c r="C137" s="12" t="s">
        <v>77</v>
      </c>
      <c r="D137" s="13" t="s">
        <v>78</v>
      </c>
      <c r="E137" s="13" t="s">
        <v>79</v>
      </c>
      <c r="F137" s="12" t="s">
        <v>77</v>
      </c>
      <c r="G137" s="13" t="s">
        <v>78</v>
      </c>
      <c r="H137" s="13" t="s">
        <v>79</v>
      </c>
      <c r="I137" s="195" t="s">
        <v>77</v>
      </c>
      <c r="J137" s="12" t="s">
        <v>78</v>
      </c>
      <c r="K137" s="13" t="s">
        <v>79</v>
      </c>
      <c r="L137" s="12" t="s">
        <v>77</v>
      </c>
      <c r="M137" s="13" t="s">
        <v>78</v>
      </c>
      <c r="N137" s="13" t="s">
        <v>79</v>
      </c>
    </row>
    <row r="138" spans="1:14" ht="15.75" customHeight="1" thickBot="1">
      <c r="A138" s="115"/>
      <c r="B138" s="116"/>
      <c r="C138" s="12" t="s">
        <v>80</v>
      </c>
      <c r="D138" s="13" t="s">
        <v>81</v>
      </c>
      <c r="E138" s="13" t="s">
        <v>82</v>
      </c>
      <c r="F138" s="12" t="s">
        <v>80</v>
      </c>
      <c r="G138" s="13" t="s">
        <v>81</v>
      </c>
      <c r="H138" s="13" t="s">
        <v>82</v>
      </c>
      <c r="I138" s="195" t="s">
        <v>80</v>
      </c>
      <c r="J138" s="12" t="s">
        <v>81</v>
      </c>
      <c r="K138" s="13" t="s">
        <v>82</v>
      </c>
      <c r="L138" s="12" t="s">
        <v>80</v>
      </c>
      <c r="M138" s="13" t="s">
        <v>81</v>
      </c>
      <c r="N138" s="13" t="s">
        <v>82</v>
      </c>
    </row>
    <row r="139" spans="1:14" s="62" customFormat="1" ht="17.25" customHeight="1" thickBot="1">
      <c r="A139" s="70" t="s">
        <v>40</v>
      </c>
      <c r="B139" s="117" t="s">
        <v>115</v>
      </c>
      <c r="C139" s="151">
        <f>+'Delhi SummerApr-Sep'!C123</f>
        <v>4150</v>
      </c>
      <c r="D139" s="147">
        <f>+'Delhi SummerApr-Sep'!D123</f>
        <v>4000</v>
      </c>
      <c r="E139" s="118">
        <f>+'Delhi SummerApr-Sep'!E123</f>
        <v>3700</v>
      </c>
      <c r="F139" s="151">
        <f>+'Delhi SummerApr-Sep'!F123</f>
        <v>4200</v>
      </c>
      <c r="G139" s="147">
        <f>+'Delhi SummerApr-Sep'!G123</f>
        <v>4350</v>
      </c>
      <c r="H139" s="118">
        <f>+'Delhi SummerApr-Sep'!H123</f>
        <v>3700</v>
      </c>
      <c r="I139" s="196">
        <f>+'Delhi SummerApr-Sep'!I123</f>
        <v>4350</v>
      </c>
      <c r="J139" s="151">
        <f>+'Delhi SummerApr-Sep'!J123</f>
        <v>4400</v>
      </c>
      <c r="K139" s="118">
        <f>+'Delhi SummerApr-Sep'!K123</f>
        <v>3750</v>
      </c>
      <c r="L139" s="151">
        <f>+'Delhi SummerApr-Sep'!L123</f>
        <v>4000</v>
      </c>
      <c r="M139" s="147">
        <f>+'Delhi SummerApr-Sep'!M123</f>
        <v>4000</v>
      </c>
      <c r="N139" s="151">
        <f>+'Delhi SummerApr-Sep'!N123</f>
        <v>3500</v>
      </c>
    </row>
    <row r="140" spans="1:14" ht="13.5" thickBot="1">
      <c r="A140" s="72" t="s">
        <v>41</v>
      </c>
      <c r="B140" s="100" t="s">
        <v>65</v>
      </c>
      <c r="C140" s="71">
        <f aca="true" t="shared" si="42" ref="C140:N140">+C139-C177-C183</f>
        <v>3825</v>
      </c>
      <c r="D140" s="79">
        <f t="shared" si="42"/>
        <v>3725</v>
      </c>
      <c r="E140" s="73">
        <f t="shared" si="42"/>
        <v>3480</v>
      </c>
      <c r="F140" s="71">
        <f t="shared" si="42"/>
        <v>3875</v>
      </c>
      <c r="G140" s="79">
        <f t="shared" si="42"/>
        <v>4075</v>
      </c>
      <c r="H140" s="73">
        <f t="shared" si="42"/>
        <v>3480</v>
      </c>
      <c r="I140" s="78">
        <f t="shared" si="42"/>
        <v>4035</v>
      </c>
      <c r="J140" s="71">
        <f t="shared" si="42"/>
        <v>4135</v>
      </c>
      <c r="K140" s="73">
        <f t="shared" si="42"/>
        <v>3540</v>
      </c>
      <c r="L140" s="71">
        <f t="shared" si="42"/>
        <v>3685</v>
      </c>
      <c r="M140" s="79">
        <f t="shared" si="42"/>
        <v>3735</v>
      </c>
      <c r="N140" s="71">
        <f t="shared" si="42"/>
        <v>3290</v>
      </c>
    </row>
    <row r="141" spans="1:14" ht="17.25" customHeight="1" thickBot="1">
      <c r="A141" s="456" t="s">
        <v>43</v>
      </c>
      <c r="B141" s="452"/>
      <c r="C141" s="154"/>
      <c r="D141" s="155"/>
      <c r="E141" s="156"/>
      <c r="F141" s="154"/>
      <c r="G141" s="155"/>
      <c r="H141" s="156"/>
      <c r="I141" s="157"/>
      <c r="J141" s="158"/>
      <c r="K141" s="156"/>
      <c r="L141" s="154"/>
      <c r="M141" s="155"/>
      <c r="N141" s="158"/>
    </row>
    <row r="142" spans="1:14" s="17" customFormat="1" ht="12.75">
      <c r="A142" s="159" t="s">
        <v>92</v>
      </c>
      <c r="B142" s="160" t="s">
        <v>44</v>
      </c>
      <c r="C142" s="161">
        <f>+C140*0.2918</f>
        <v>1116.135</v>
      </c>
      <c r="D142" s="162">
        <f aca="true" t="shared" si="43" ref="D142:N142">+D140*0.2918</f>
        <v>1086.955</v>
      </c>
      <c r="E142" s="163">
        <f t="shared" si="43"/>
        <v>1015.464</v>
      </c>
      <c r="F142" s="161">
        <f t="shared" si="43"/>
        <v>1130.725</v>
      </c>
      <c r="G142" s="162">
        <f t="shared" si="43"/>
        <v>1189.085</v>
      </c>
      <c r="H142" s="163">
        <f t="shared" si="43"/>
        <v>1015.464</v>
      </c>
      <c r="I142" s="197">
        <f t="shared" si="43"/>
        <v>1177.413</v>
      </c>
      <c r="J142" s="161">
        <f t="shared" si="43"/>
        <v>1206.593</v>
      </c>
      <c r="K142" s="163">
        <f t="shared" si="43"/>
        <v>1032.972</v>
      </c>
      <c r="L142" s="161">
        <f t="shared" si="43"/>
        <v>1075.283</v>
      </c>
      <c r="M142" s="162">
        <f t="shared" si="43"/>
        <v>1089.873</v>
      </c>
      <c r="N142" s="161">
        <f t="shared" si="43"/>
        <v>960.022</v>
      </c>
    </row>
    <row r="143" spans="1:14" ht="12.75">
      <c r="A143" s="61"/>
      <c r="B143" s="120" t="s">
        <v>45</v>
      </c>
      <c r="C143" s="74"/>
      <c r="D143" s="75"/>
      <c r="E143" s="121"/>
      <c r="F143" s="74"/>
      <c r="G143" s="75"/>
      <c r="H143" s="121"/>
      <c r="I143" s="198"/>
      <c r="J143" s="74"/>
      <c r="K143" s="121"/>
      <c r="L143" s="74"/>
      <c r="M143" s="75"/>
      <c r="N143" s="74"/>
    </row>
    <row r="144" spans="1:14" ht="12.75">
      <c r="A144" s="61">
        <v>1</v>
      </c>
      <c r="B144" s="122" t="s">
        <v>46</v>
      </c>
      <c r="C144" s="164">
        <f>('Delhi SummerApr-Sep'!C131+'Delhi SummerApr-Sep'!C135-'Discom Combined'!C145-'Discom Combined'!C155-'Discom Combined'!C166-'Discom Combined'!C180-'Discom Combined'!C184)*0.2918</f>
        <v>760.368622358356</v>
      </c>
      <c r="D144" s="165">
        <f>('Delhi SummerApr-Sep'!D131+'Delhi SummerApr-Sep'!D135-'Discom Combined'!D145-'Discom Combined'!D155-'Discom Combined'!D166-'Discom Combined'!D180-'Discom Combined'!D184)*0.2918</f>
        <v>767.371822358356</v>
      </c>
      <c r="E144" s="166">
        <f>('Delhi SummerApr-Sep'!E131+'Delhi SummerApr-Sep'!E135-'Discom Combined'!E145-'Discom Combined'!E155-'Discom Combined'!E166-'Discom Combined'!E180-'Discom Combined'!E184)*0.2918</f>
        <v>693.254622358356</v>
      </c>
      <c r="F144" s="164">
        <f>('Delhi SummerApr-Sep'!F131+'Delhi SummerApr-Sep'!F135-'Discom Combined'!F145-'Discom Combined'!F155-'Discom Combined'!F166-'Discom Combined'!F180-'Discom Combined'!F184)*0.2918</f>
        <v>760.368622358356</v>
      </c>
      <c r="G144" s="165">
        <f>('Delhi SummerApr-Sep'!G131+'Delhi SummerApr-Sep'!G135-'Discom Combined'!G145-'Discom Combined'!G155-'Discom Combined'!G166-'Discom Combined'!G180-'Discom Combined'!G184)*0.2918</f>
        <v>767.371822358356</v>
      </c>
      <c r="H144" s="166">
        <f>('Delhi SummerApr-Sep'!H131+'Delhi SummerApr-Sep'!H135-'Discom Combined'!H145-'Discom Combined'!H155-'Discom Combined'!H166-'Discom Combined'!H180-'Discom Combined'!H184)*0.2918</f>
        <v>693.254622358356</v>
      </c>
      <c r="I144" s="199">
        <f>('Delhi SummerApr-Sep'!I131+'Delhi SummerApr-Sep'!I135-'Discom Combined'!I145-'Discom Combined'!I155-'Discom Combined'!I166-'Discom Combined'!I180-'Discom Combined'!I184)*0.2918</f>
        <v>760.368622358356</v>
      </c>
      <c r="J144" s="164">
        <f>('Delhi SummerApr-Sep'!J131+'Delhi SummerApr-Sep'!J135-'Discom Combined'!J145-'Discom Combined'!J155-'Discom Combined'!J166-'Discom Combined'!J180-'Discom Combined'!J184)*0.2918</f>
        <v>767.371822358356</v>
      </c>
      <c r="K144" s="166">
        <f>('Delhi SummerApr-Sep'!K131+'Delhi SummerApr-Sep'!K135-'Discom Combined'!K145-'Discom Combined'!K155-'Discom Combined'!K166-'Discom Combined'!K180-'Discom Combined'!K184)*0.2918</f>
        <v>693.254622358356</v>
      </c>
      <c r="L144" s="164">
        <f>('Delhi SummerApr-Sep'!L131+'Delhi SummerApr-Sep'!L135-'Discom Combined'!L145-'Discom Combined'!L155-'Discom Combined'!L166-'Discom Combined'!L180-'Discom Combined'!L184)*0.2918</f>
        <v>725.9633842680929</v>
      </c>
      <c r="M144" s="165">
        <f>('Delhi SummerApr-Sep'!M131+'Delhi SummerApr-Sep'!M135-'Discom Combined'!M145-'Discom Combined'!M155-'Discom Combined'!M166-'Discom Combined'!M180-'Discom Combined'!M184)*0.2918</f>
        <v>732.9665842680929</v>
      </c>
      <c r="N144" s="164">
        <f>('Delhi SummerApr-Sep'!N131+'Delhi SummerApr-Sep'!N135-'Discom Combined'!N145-'Discom Combined'!N155-'Discom Combined'!N166-'Discom Combined'!N180-'Discom Combined'!N184)*0.2918</f>
        <v>658.849384268093</v>
      </c>
    </row>
    <row r="145" spans="1:14" ht="12.75">
      <c r="A145" s="61">
        <v>2</v>
      </c>
      <c r="B145" s="122" t="s">
        <v>47</v>
      </c>
      <c r="C145" s="76">
        <f>(266*((2393-95)/2393))*0.35</f>
        <v>89.40401170079399</v>
      </c>
      <c r="D145" s="76">
        <f aca="true" t="shared" si="44" ref="D145:K145">(266*((2393-95)/2393))*0.35</f>
        <v>89.40401170079399</v>
      </c>
      <c r="E145" s="76">
        <f t="shared" si="44"/>
        <v>89.40401170079399</v>
      </c>
      <c r="F145" s="76">
        <f t="shared" si="44"/>
        <v>89.40401170079399</v>
      </c>
      <c r="G145" s="76">
        <f t="shared" si="44"/>
        <v>89.40401170079399</v>
      </c>
      <c r="H145" s="76">
        <f t="shared" si="44"/>
        <v>89.40401170079399</v>
      </c>
      <c r="I145" s="76">
        <f t="shared" si="44"/>
        <v>89.40401170079399</v>
      </c>
      <c r="J145" s="76">
        <f t="shared" si="44"/>
        <v>89.40401170079399</v>
      </c>
      <c r="K145" s="76">
        <f t="shared" si="44"/>
        <v>89.40401170079399</v>
      </c>
      <c r="L145" s="76">
        <f>(266*((2393-210-95)/2393))*0.35</f>
        <v>81.23393230254909</v>
      </c>
      <c r="M145" s="76">
        <f>(266*((2393-210-95)/2393))*0.35</f>
        <v>81.23393230254909</v>
      </c>
      <c r="N145" s="76">
        <f>(266*((2393-210-95)/2393))*0.35</f>
        <v>81.23393230254909</v>
      </c>
    </row>
    <row r="146" spans="1:14" ht="12.75">
      <c r="A146" s="61">
        <v>3</v>
      </c>
      <c r="B146" s="167" t="s">
        <v>48</v>
      </c>
      <c r="C146" s="76">
        <f>'Delhi SummerApr-Sep'!C137*0.2918</f>
        <v>61.74488000000001</v>
      </c>
      <c r="D146" s="148">
        <f>'Delhi SummerApr-Sep'!D137*0.2918</f>
        <v>61.74488000000001</v>
      </c>
      <c r="E146" s="123">
        <f>'Delhi SummerApr-Sep'!E137*0.2918</f>
        <v>61.74488000000001</v>
      </c>
      <c r="F146" s="76">
        <f>'Delhi SummerApr-Sep'!F137*0.2918</f>
        <v>61.74488000000001</v>
      </c>
      <c r="G146" s="148">
        <f>'Delhi SummerApr-Sep'!G137*0.2918</f>
        <v>61.74488000000001</v>
      </c>
      <c r="H146" s="123">
        <f>'Delhi SummerApr-Sep'!H137*0.2918</f>
        <v>61.74488000000001</v>
      </c>
      <c r="I146" s="200">
        <f>'Delhi SummerApr-Sep'!I137*0.2918</f>
        <v>61.74488000000001</v>
      </c>
      <c r="J146" s="76">
        <f>'Delhi SummerApr-Sep'!J137*0.2918</f>
        <v>61.74488000000001</v>
      </c>
      <c r="K146" s="123">
        <f>'Delhi SummerApr-Sep'!K137*0.2918</f>
        <v>61.74488000000001</v>
      </c>
      <c r="L146" s="76">
        <f>'Delhi SummerApr-Sep'!L137*0.2918</f>
        <v>61.74488000000001</v>
      </c>
      <c r="M146" s="148">
        <f>'Delhi SummerApr-Sep'!M137*0.2918</f>
        <v>61.74488000000001</v>
      </c>
      <c r="N146" s="76">
        <f>'Delhi SummerApr-Sep'!N137*0.2918</f>
        <v>61.74488000000001</v>
      </c>
    </row>
    <row r="147" spans="1:14" ht="14.25" customHeight="1">
      <c r="A147" s="224">
        <v>4</v>
      </c>
      <c r="B147" s="33" t="s">
        <v>118</v>
      </c>
      <c r="C147" s="204">
        <v>18</v>
      </c>
      <c r="D147" s="204">
        <v>18</v>
      </c>
      <c r="E147" s="204">
        <v>18</v>
      </c>
      <c r="F147" s="204">
        <v>18</v>
      </c>
      <c r="G147" s="204">
        <v>18</v>
      </c>
      <c r="H147" s="204">
        <v>18</v>
      </c>
      <c r="I147" s="204">
        <v>18</v>
      </c>
      <c r="J147" s="204">
        <v>18</v>
      </c>
      <c r="K147" s="204">
        <v>18</v>
      </c>
      <c r="L147" s="204">
        <v>18</v>
      </c>
      <c r="M147" s="204">
        <v>18</v>
      </c>
      <c r="N147" s="204">
        <v>18</v>
      </c>
    </row>
    <row r="148" spans="1:14" ht="14.25" customHeight="1">
      <c r="A148" s="224">
        <v>5</v>
      </c>
      <c r="B148" s="33" t="s">
        <v>119</v>
      </c>
      <c r="C148" s="204">
        <v>96</v>
      </c>
      <c r="D148" s="204">
        <v>96</v>
      </c>
      <c r="E148" s="204">
        <v>96</v>
      </c>
      <c r="F148" s="204">
        <v>96</v>
      </c>
      <c r="G148" s="204">
        <v>96</v>
      </c>
      <c r="H148" s="204">
        <v>96</v>
      </c>
      <c r="I148" s="204">
        <v>72</v>
      </c>
      <c r="J148" s="204">
        <v>72</v>
      </c>
      <c r="K148" s="204">
        <v>72</v>
      </c>
      <c r="L148" s="204">
        <v>72</v>
      </c>
      <c r="M148" s="204">
        <v>72</v>
      </c>
      <c r="N148" s="204">
        <v>72</v>
      </c>
    </row>
    <row r="149" spans="1:14" s="62" customFormat="1" ht="12.75" customHeight="1" thickBot="1">
      <c r="A149" s="34">
        <v>6</v>
      </c>
      <c r="B149" s="136" t="s">
        <v>49</v>
      </c>
      <c r="C149" s="168">
        <f aca="true" t="shared" si="45" ref="C149:N149">SUM(C144:C148)</f>
        <v>1025.51751405915</v>
      </c>
      <c r="D149" s="168">
        <f t="shared" si="45"/>
        <v>1032.52071405915</v>
      </c>
      <c r="E149" s="168">
        <f t="shared" si="45"/>
        <v>958.4035140591499</v>
      </c>
      <c r="F149" s="168">
        <f t="shared" si="45"/>
        <v>1025.51751405915</v>
      </c>
      <c r="G149" s="168">
        <f t="shared" si="45"/>
        <v>1032.52071405915</v>
      </c>
      <c r="H149" s="168">
        <f t="shared" si="45"/>
        <v>958.4035140591499</v>
      </c>
      <c r="I149" s="168">
        <f t="shared" si="45"/>
        <v>1001.5175140591499</v>
      </c>
      <c r="J149" s="168">
        <f t="shared" si="45"/>
        <v>1008.5207140591499</v>
      </c>
      <c r="K149" s="168">
        <f t="shared" si="45"/>
        <v>934.4035140591499</v>
      </c>
      <c r="L149" s="168">
        <f t="shared" si="45"/>
        <v>958.942196570642</v>
      </c>
      <c r="M149" s="168">
        <f t="shared" si="45"/>
        <v>965.945396570642</v>
      </c>
      <c r="N149" s="168">
        <f t="shared" si="45"/>
        <v>891.828196570642</v>
      </c>
    </row>
    <row r="150" spans="1:14" ht="13.5" customHeight="1" thickBot="1">
      <c r="A150" s="77"/>
      <c r="B150" s="134" t="s">
        <v>50</v>
      </c>
      <c r="C150" s="109">
        <f aca="true" t="shared" si="46" ref="C150:N150">+C149-C142</f>
        <v>-90.61748594084997</v>
      </c>
      <c r="D150" s="209">
        <f t="shared" si="46"/>
        <v>-54.43428594085003</v>
      </c>
      <c r="E150" s="210">
        <f t="shared" si="46"/>
        <v>-57.060485940850185</v>
      </c>
      <c r="F150" s="109">
        <f t="shared" si="46"/>
        <v>-105.20748594084989</v>
      </c>
      <c r="G150" s="209">
        <f t="shared" si="46"/>
        <v>-156.56428594085014</v>
      </c>
      <c r="H150" s="210">
        <f t="shared" si="46"/>
        <v>-57.060485940850185</v>
      </c>
      <c r="I150" s="211">
        <f t="shared" si="46"/>
        <v>-175.8954859408501</v>
      </c>
      <c r="J150" s="109">
        <f t="shared" si="46"/>
        <v>-198.07228594085018</v>
      </c>
      <c r="K150" s="210">
        <f t="shared" si="46"/>
        <v>-98.56848594085011</v>
      </c>
      <c r="L150" s="109">
        <f t="shared" si="46"/>
        <v>-116.34080342935795</v>
      </c>
      <c r="M150" s="209">
        <f t="shared" si="46"/>
        <v>-123.9276034293581</v>
      </c>
      <c r="N150" s="109">
        <f t="shared" si="46"/>
        <v>-68.19380342935801</v>
      </c>
    </row>
    <row r="151" spans="1:14" ht="15.75" customHeight="1" thickBot="1">
      <c r="A151" s="456" t="s">
        <v>54</v>
      </c>
      <c r="B151" s="452"/>
      <c r="C151" s="158"/>
      <c r="D151" s="155"/>
      <c r="E151" s="156"/>
      <c r="F151" s="158"/>
      <c r="G151" s="155"/>
      <c r="H151" s="156"/>
      <c r="I151" s="171"/>
      <c r="J151" s="158"/>
      <c r="K151" s="156"/>
      <c r="L151" s="158"/>
      <c r="M151" s="155"/>
      <c r="N151" s="158"/>
    </row>
    <row r="152" spans="1:14" s="17" customFormat="1" ht="12.75">
      <c r="A152" s="159" t="s">
        <v>93</v>
      </c>
      <c r="B152" s="160" t="s">
        <v>55</v>
      </c>
      <c r="C152" s="82">
        <f aca="true" t="shared" si="47" ref="C152:N152">+C140*0.2724</f>
        <v>1041.9299999999998</v>
      </c>
      <c r="D152" s="149">
        <f t="shared" si="47"/>
        <v>1014.6899999999999</v>
      </c>
      <c r="E152" s="124">
        <f t="shared" si="47"/>
        <v>947.9519999999999</v>
      </c>
      <c r="F152" s="82">
        <f t="shared" si="47"/>
        <v>1055.55</v>
      </c>
      <c r="G152" s="149">
        <f t="shared" si="47"/>
        <v>1110.03</v>
      </c>
      <c r="H152" s="124">
        <f t="shared" si="47"/>
        <v>947.9519999999999</v>
      </c>
      <c r="I152" s="202">
        <f t="shared" si="47"/>
        <v>1099.134</v>
      </c>
      <c r="J152" s="82">
        <f t="shared" si="47"/>
        <v>1126.3739999999998</v>
      </c>
      <c r="K152" s="124">
        <f t="shared" si="47"/>
        <v>964.2959999999999</v>
      </c>
      <c r="L152" s="82">
        <f t="shared" si="47"/>
        <v>1003.7939999999999</v>
      </c>
      <c r="M152" s="149">
        <f t="shared" si="47"/>
        <v>1017.4139999999999</v>
      </c>
      <c r="N152" s="82">
        <f t="shared" si="47"/>
        <v>896.1959999999999</v>
      </c>
    </row>
    <row r="153" spans="1:14" ht="12.75">
      <c r="A153" s="61"/>
      <c r="B153" s="120" t="s">
        <v>56</v>
      </c>
      <c r="C153" s="76"/>
      <c r="D153" s="83"/>
      <c r="E153" s="123"/>
      <c r="F153" s="76"/>
      <c r="G153" s="83"/>
      <c r="H153" s="123"/>
      <c r="I153" s="200"/>
      <c r="J153" s="76"/>
      <c r="K153" s="123"/>
      <c r="L153" s="76"/>
      <c r="M153" s="83"/>
      <c r="N153" s="76"/>
    </row>
    <row r="154" spans="1:14" ht="12.75">
      <c r="A154" s="61">
        <v>1</v>
      </c>
      <c r="B154" s="122" t="s">
        <v>46</v>
      </c>
      <c r="C154" s="76">
        <f>('Delhi SummerApr-Sep'!C131+'Delhi SummerApr-Sep'!C135-'Discom Combined'!C145-'Discom Combined'!C155-'Discom Combined'!C166-'Discom Combined'!C180-'Discom Combined'!C184)*0.2724</f>
        <v>709.8163561700349</v>
      </c>
      <c r="D154" s="148">
        <f>('Delhi SummerApr-Sep'!D131+'Delhi SummerApr-Sep'!D135-'Discom Combined'!D145-'Discom Combined'!D155-'Discom Combined'!D166-'Discom Combined'!D180-'Discom Combined'!D184)*0.2724</f>
        <v>716.3539561700348</v>
      </c>
      <c r="E154" s="123">
        <f>('Delhi SummerApr-Sep'!E131+'Delhi SummerApr-Sep'!E135-'Discom Combined'!E145-'Discom Combined'!E155-'Discom Combined'!E166-'Discom Combined'!E180-'Discom Combined'!E184)*0.2724</f>
        <v>647.1643561700348</v>
      </c>
      <c r="F154" s="76">
        <f>('Delhi SummerApr-Sep'!F131+'Delhi SummerApr-Sep'!F135-'Discom Combined'!F145-'Discom Combined'!F155-'Discom Combined'!F166-'Discom Combined'!F180-'Discom Combined'!F184)*0.2724</f>
        <v>709.8163561700349</v>
      </c>
      <c r="G154" s="148">
        <f>('Delhi SummerApr-Sep'!G131+'Delhi SummerApr-Sep'!G135-'Discom Combined'!G145-'Discom Combined'!G155-'Discom Combined'!G166-'Discom Combined'!G180-'Discom Combined'!G184)*0.2724</f>
        <v>716.3539561700348</v>
      </c>
      <c r="H154" s="123">
        <f>('Delhi SummerApr-Sep'!H131+'Delhi SummerApr-Sep'!H135-'Discom Combined'!H145-'Discom Combined'!H155-'Discom Combined'!H166-'Discom Combined'!H180-'Discom Combined'!H184)*0.2724</f>
        <v>647.1643561700348</v>
      </c>
      <c r="I154" s="200">
        <f>('Delhi SummerApr-Sep'!I131+'Delhi SummerApr-Sep'!I135-'Discom Combined'!I145-'Discom Combined'!I155-'Discom Combined'!I166-'Discom Combined'!I180-'Discom Combined'!I184)*0.2724</f>
        <v>709.8163561700349</v>
      </c>
      <c r="J154" s="76">
        <f>('Delhi SummerApr-Sep'!J131+'Delhi SummerApr-Sep'!J135-'Discom Combined'!J145-'Discom Combined'!J155-'Discom Combined'!J166-'Discom Combined'!J180-'Discom Combined'!J184)*0.2724</f>
        <v>716.3539561700348</v>
      </c>
      <c r="K154" s="123">
        <f>('Delhi SummerApr-Sep'!K131+'Delhi SummerApr-Sep'!K135-'Discom Combined'!K145-'Discom Combined'!K155-'Discom Combined'!K166-'Discom Combined'!K180-'Discom Combined'!K184)*0.2724</f>
        <v>647.1643561700348</v>
      </c>
      <c r="L154" s="76">
        <f>('Delhi SummerApr-Sep'!L131+'Delhi SummerApr-Sep'!L135-'Discom Combined'!L145-'Discom Combined'!L155-'Discom Combined'!L166-'Discom Combined'!L180-'Discom Combined'!L184)*0.2724</f>
        <v>677.698512250269</v>
      </c>
      <c r="M154" s="148">
        <f>('Delhi SummerApr-Sep'!M131+'Delhi SummerApr-Sep'!M135-'Discom Combined'!M145-'Discom Combined'!M155-'Discom Combined'!M166-'Discom Combined'!M180-'Discom Combined'!M184)*0.2724</f>
        <v>684.236112250269</v>
      </c>
      <c r="N154" s="76">
        <f>('Delhi SummerApr-Sep'!N131+'Delhi SummerApr-Sep'!N135-'Discom Combined'!N145-'Discom Combined'!N155-'Discom Combined'!N166-'Discom Combined'!N180-'Discom Combined'!N184)*0.2724</f>
        <v>615.046512250269</v>
      </c>
    </row>
    <row r="155" spans="1:14" ht="12.75">
      <c r="A155" s="61">
        <v>2</v>
      </c>
      <c r="B155" s="122" t="s">
        <v>47</v>
      </c>
      <c r="C155" s="76">
        <f>(266*((2393-95)/2393))*0.55</f>
        <v>140.492018386962</v>
      </c>
      <c r="D155" s="76">
        <f aca="true" t="shared" si="48" ref="D155:K155">(266*((2393-95)/2393))*0.55</f>
        <v>140.492018386962</v>
      </c>
      <c r="E155" s="76">
        <f t="shared" si="48"/>
        <v>140.492018386962</v>
      </c>
      <c r="F155" s="76">
        <f t="shared" si="48"/>
        <v>140.492018386962</v>
      </c>
      <c r="G155" s="76">
        <f t="shared" si="48"/>
        <v>140.492018386962</v>
      </c>
      <c r="H155" s="76">
        <f t="shared" si="48"/>
        <v>140.492018386962</v>
      </c>
      <c r="I155" s="76">
        <f t="shared" si="48"/>
        <v>140.492018386962</v>
      </c>
      <c r="J155" s="76">
        <f t="shared" si="48"/>
        <v>140.492018386962</v>
      </c>
      <c r="K155" s="76">
        <f t="shared" si="48"/>
        <v>140.492018386962</v>
      </c>
      <c r="L155" s="76">
        <f>(266*((2393-210-95)/2393))*0.55</f>
        <v>127.65332218972003</v>
      </c>
      <c r="M155" s="76">
        <f>(266*((2393-210-95)/2393))*0.55</f>
        <v>127.65332218972003</v>
      </c>
      <c r="N155" s="76">
        <f>(266*((2393-210-95)/2393))*0.55</f>
        <v>127.65332218972003</v>
      </c>
    </row>
    <row r="156" spans="1:16" ht="12.75">
      <c r="A156" s="61">
        <v>3</v>
      </c>
      <c r="B156" s="167" t="s">
        <v>48</v>
      </c>
      <c r="C156" s="76">
        <f>'Delhi SummerApr-Sep'!C137*0.2724</f>
        <v>57.63984</v>
      </c>
      <c r="D156" s="148">
        <f>'Delhi SummerApr-Sep'!D137*0.2724</f>
        <v>57.63984</v>
      </c>
      <c r="E156" s="123">
        <f>'Delhi SummerApr-Sep'!E137*0.2724</f>
        <v>57.63984</v>
      </c>
      <c r="F156" s="76">
        <f>'Delhi SummerApr-Sep'!F137*0.2724</f>
        <v>57.63984</v>
      </c>
      <c r="G156" s="148">
        <f>'Delhi SummerApr-Sep'!G137*0.2724</f>
        <v>57.63984</v>
      </c>
      <c r="H156" s="123">
        <f>'Delhi SummerApr-Sep'!H137*0.2724</f>
        <v>57.63984</v>
      </c>
      <c r="I156" s="200">
        <f>'Delhi SummerApr-Sep'!I137*0.2724</f>
        <v>57.63984</v>
      </c>
      <c r="J156" s="76">
        <f>'Delhi SummerApr-Sep'!J137*0.2724</f>
        <v>57.63984</v>
      </c>
      <c r="K156" s="123">
        <f>'Delhi SummerApr-Sep'!K137*0.2724</f>
        <v>57.63984</v>
      </c>
      <c r="L156" s="76">
        <f>'Delhi SummerApr-Sep'!L137*0.2724</f>
        <v>57.63984</v>
      </c>
      <c r="M156" s="148">
        <f>'Delhi SummerApr-Sep'!M137*0.2724</f>
        <v>57.63984</v>
      </c>
      <c r="N156" s="76">
        <f>'Delhi SummerApr-Sep'!N137*0.2724</f>
        <v>57.63984</v>
      </c>
      <c r="P156" s="180"/>
    </row>
    <row r="157" spans="1:14" ht="14.25" customHeight="1">
      <c r="A157" s="216">
        <v>4</v>
      </c>
      <c r="B157" s="219" t="s">
        <v>113</v>
      </c>
      <c r="C157" s="59">
        <f aca="true" t="shared" si="49" ref="C157:H157">60*0.96</f>
        <v>57.599999999999994</v>
      </c>
      <c r="D157" s="59">
        <f t="shared" si="49"/>
        <v>57.599999999999994</v>
      </c>
      <c r="E157" s="59">
        <f t="shared" si="49"/>
        <v>57.599999999999994</v>
      </c>
      <c r="F157" s="59">
        <f t="shared" si="49"/>
        <v>57.599999999999994</v>
      </c>
      <c r="G157" s="59">
        <f t="shared" si="49"/>
        <v>57.599999999999994</v>
      </c>
      <c r="H157" s="59">
        <f t="shared" si="49"/>
        <v>57.599999999999994</v>
      </c>
      <c r="I157" s="204">
        <v>0</v>
      </c>
      <c r="J157" s="204">
        <v>0</v>
      </c>
      <c r="K157" s="204">
        <v>0</v>
      </c>
      <c r="L157" s="204">
        <v>0</v>
      </c>
      <c r="M157" s="204">
        <v>0</v>
      </c>
      <c r="N157" s="204">
        <v>0</v>
      </c>
    </row>
    <row r="158" spans="1:14" ht="14.25" customHeight="1">
      <c r="A158" s="216">
        <v>5</v>
      </c>
      <c r="B158" s="215" t="s">
        <v>106</v>
      </c>
      <c r="C158" s="204">
        <v>92</v>
      </c>
      <c r="D158" s="204">
        <v>92</v>
      </c>
      <c r="E158" s="204">
        <v>92</v>
      </c>
      <c r="F158" s="204">
        <v>92</v>
      </c>
      <c r="G158" s="204">
        <v>92</v>
      </c>
      <c r="H158" s="204">
        <v>92</v>
      </c>
      <c r="I158" s="204">
        <v>92</v>
      </c>
      <c r="J158" s="204">
        <v>92</v>
      </c>
      <c r="K158" s="204">
        <v>92</v>
      </c>
      <c r="L158" s="204">
        <v>92</v>
      </c>
      <c r="M158" s="204">
        <v>92</v>
      </c>
      <c r="N158" s="204">
        <v>92</v>
      </c>
    </row>
    <row r="159" spans="1:14" ht="14.25" customHeight="1">
      <c r="A159" s="216">
        <v>6</v>
      </c>
      <c r="B159" s="215" t="s">
        <v>107</v>
      </c>
      <c r="C159" s="204">
        <v>92</v>
      </c>
      <c r="D159" s="204">
        <v>92</v>
      </c>
      <c r="E159" s="204">
        <v>92</v>
      </c>
      <c r="F159" s="204">
        <v>92</v>
      </c>
      <c r="G159" s="204">
        <v>92</v>
      </c>
      <c r="H159" s="204">
        <v>92</v>
      </c>
      <c r="I159" s="204">
        <v>92</v>
      </c>
      <c r="J159" s="204">
        <v>92</v>
      </c>
      <c r="K159" s="204">
        <v>92</v>
      </c>
      <c r="L159" s="204">
        <v>92</v>
      </c>
      <c r="M159" s="204">
        <v>92</v>
      </c>
      <c r="N159" s="204">
        <v>92</v>
      </c>
    </row>
    <row r="160" spans="1:14" s="62" customFormat="1" ht="13.5" customHeight="1" thickBot="1">
      <c r="A160" s="135">
        <v>7</v>
      </c>
      <c r="B160" s="120" t="s">
        <v>49</v>
      </c>
      <c r="C160" s="168">
        <f>SUM(C154:C159)</f>
        <v>1149.5482145569968</v>
      </c>
      <c r="D160" s="168">
        <f aca="true" t="shared" si="50" ref="D160:N160">SUM(D154:D159)</f>
        <v>1156.0858145569969</v>
      </c>
      <c r="E160" s="168">
        <f t="shared" si="50"/>
        <v>1086.8962145569967</v>
      </c>
      <c r="F160" s="168">
        <f t="shared" si="50"/>
        <v>1149.5482145569968</v>
      </c>
      <c r="G160" s="168">
        <f t="shared" si="50"/>
        <v>1156.0858145569969</v>
      </c>
      <c r="H160" s="168">
        <f t="shared" si="50"/>
        <v>1086.8962145569967</v>
      </c>
      <c r="I160" s="168">
        <f t="shared" si="50"/>
        <v>1091.9482145569968</v>
      </c>
      <c r="J160" s="168">
        <f t="shared" si="50"/>
        <v>1098.485814556997</v>
      </c>
      <c r="K160" s="168">
        <f t="shared" si="50"/>
        <v>1029.2962145569968</v>
      </c>
      <c r="L160" s="168">
        <f t="shared" si="50"/>
        <v>1046.991674439989</v>
      </c>
      <c r="M160" s="168">
        <f t="shared" si="50"/>
        <v>1053.529274439989</v>
      </c>
      <c r="N160" s="168">
        <f t="shared" si="50"/>
        <v>984.339674439989</v>
      </c>
    </row>
    <row r="161" spans="1:14" ht="13.5" thickBot="1">
      <c r="A161" s="77"/>
      <c r="B161" s="134" t="s">
        <v>94</v>
      </c>
      <c r="C161" s="71">
        <f>+C160-C152</f>
        <v>107.61821455699692</v>
      </c>
      <c r="D161" s="79">
        <f aca="true" t="shared" si="51" ref="D161:N161">+D160-D152</f>
        <v>141.39581455699692</v>
      </c>
      <c r="E161" s="73">
        <f t="shared" si="51"/>
        <v>138.94421455699683</v>
      </c>
      <c r="F161" s="71">
        <f t="shared" si="51"/>
        <v>93.9982145569968</v>
      </c>
      <c r="G161" s="79">
        <f t="shared" si="51"/>
        <v>46.05581455699689</v>
      </c>
      <c r="H161" s="73">
        <f t="shared" si="51"/>
        <v>138.94421455699683</v>
      </c>
      <c r="I161" s="211">
        <f t="shared" si="51"/>
        <v>-7.185785443003169</v>
      </c>
      <c r="J161" s="109">
        <f t="shared" si="51"/>
        <v>-27.88818544300284</v>
      </c>
      <c r="K161" s="73">
        <f t="shared" si="51"/>
        <v>65.00021455699687</v>
      </c>
      <c r="L161" s="71">
        <f t="shared" si="51"/>
        <v>43.197674439989214</v>
      </c>
      <c r="M161" s="79">
        <f t="shared" si="51"/>
        <v>36.11527443998909</v>
      </c>
      <c r="N161" s="71">
        <f t="shared" si="51"/>
        <v>88.14367443998913</v>
      </c>
    </row>
    <row r="162" spans="1:14" ht="15.75" customHeight="1" thickBot="1">
      <c r="A162" s="456" t="s">
        <v>51</v>
      </c>
      <c r="B162" s="457"/>
      <c r="C162" s="71"/>
      <c r="D162" s="79"/>
      <c r="E162" s="73"/>
      <c r="F162" s="71"/>
      <c r="G162" s="79"/>
      <c r="H162" s="73"/>
      <c r="I162" s="78"/>
      <c r="J162" s="71"/>
      <c r="K162" s="73"/>
      <c r="L162" s="71"/>
      <c r="M162" s="79"/>
      <c r="N162" s="71"/>
    </row>
    <row r="163" spans="1:20" s="17" customFormat="1" ht="12.75">
      <c r="A163" s="172" t="s">
        <v>95</v>
      </c>
      <c r="B163" s="173" t="s">
        <v>52</v>
      </c>
      <c r="C163" s="82">
        <f aca="true" t="shared" si="52" ref="C163:N163">+C140*0.4358</f>
        <v>1666.9350000000002</v>
      </c>
      <c r="D163" s="149">
        <f t="shared" si="52"/>
        <v>1623.355</v>
      </c>
      <c r="E163" s="124">
        <f t="shared" si="52"/>
        <v>1516.584</v>
      </c>
      <c r="F163" s="82">
        <f t="shared" si="52"/>
        <v>1688.7250000000001</v>
      </c>
      <c r="G163" s="149">
        <f t="shared" si="52"/>
        <v>1775.885</v>
      </c>
      <c r="H163" s="124">
        <f t="shared" si="52"/>
        <v>1516.584</v>
      </c>
      <c r="I163" s="202">
        <f t="shared" si="52"/>
        <v>1758.453</v>
      </c>
      <c r="J163" s="82">
        <f t="shared" si="52"/>
        <v>1802.0330000000001</v>
      </c>
      <c r="K163" s="124">
        <f t="shared" si="52"/>
        <v>1542.732</v>
      </c>
      <c r="L163" s="82">
        <f t="shared" si="52"/>
        <v>1605.923</v>
      </c>
      <c r="M163" s="149">
        <f t="shared" si="52"/>
        <v>1627.713</v>
      </c>
      <c r="N163" s="82">
        <f t="shared" si="52"/>
        <v>1433.7820000000002</v>
      </c>
      <c r="P163" s="187"/>
      <c r="Q163" s="188"/>
      <c r="R163" s="188"/>
      <c r="S163" s="188"/>
      <c r="T163" s="188"/>
    </row>
    <row r="164" spans="1:20" ht="12.75">
      <c r="A164" s="61"/>
      <c r="B164" s="120" t="s">
        <v>53</v>
      </c>
      <c r="C164" s="76"/>
      <c r="D164" s="83"/>
      <c r="E164" s="123"/>
      <c r="F164" s="76"/>
      <c r="G164" s="83"/>
      <c r="H164" s="123"/>
      <c r="I164" s="200"/>
      <c r="J164" s="76"/>
      <c r="K164" s="123"/>
      <c r="L164" s="76"/>
      <c r="M164" s="83"/>
      <c r="N164" s="76"/>
      <c r="P164" s="182"/>
      <c r="Q164" s="182"/>
      <c r="R164" s="182"/>
      <c r="S164" s="182"/>
      <c r="T164" s="182"/>
    </row>
    <row r="165" spans="1:20" ht="12.75">
      <c r="A165" s="61">
        <v>1</v>
      </c>
      <c r="B165" s="122" t="s">
        <v>46</v>
      </c>
      <c r="C165" s="76">
        <f>('Delhi SummerApr-Sep'!C131+'Delhi SummerApr-Sep'!C135-'Discom Combined'!C145-'Discom Combined'!C155-'Discom Combined'!C166-'Discom Combined'!C180-'Discom Combined'!C184)*0.4358</f>
        <v>1135.601938395379</v>
      </c>
      <c r="D165" s="148">
        <f>('Delhi SummerApr-Sep'!D131+'Delhi SummerApr-Sep'!D135-'Discom Combined'!D145-'Discom Combined'!D155-'Discom Combined'!D166-'Discom Combined'!D180-'Discom Combined'!D184)*0.4358</f>
        <v>1146.061138395379</v>
      </c>
      <c r="E165" s="123">
        <f>('Delhi SummerApr-Sep'!E131+'Delhi SummerApr-Sep'!E135-'Discom Combined'!E145-'Discom Combined'!E155-'Discom Combined'!E166-'Discom Combined'!E180-'Discom Combined'!E184)*0.4358</f>
        <v>1035.3679383953788</v>
      </c>
      <c r="F165" s="76">
        <f>('Delhi SummerApr-Sep'!F131+'Delhi SummerApr-Sep'!F135-'Discom Combined'!F145-'Discom Combined'!F155-'Discom Combined'!F166-'Discom Combined'!F180-'Discom Combined'!F184)*0.4358</f>
        <v>1135.601938395379</v>
      </c>
      <c r="G165" s="148">
        <f>('Delhi SummerApr-Sep'!G131+'Delhi SummerApr-Sep'!G135-'Discom Combined'!G145-'Discom Combined'!G155-'Discom Combined'!G166-'Discom Combined'!G180-'Discom Combined'!G184)*0.4358</f>
        <v>1146.061138395379</v>
      </c>
      <c r="H165" s="123">
        <f>('Delhi SummerApr-Sep'!H131+'Delhi SummerApr-Sep'!H135-'Discom Combined'!H145-'Discom Combined'!H155-'Discom Combined'!H166-'Discom Combined'!H180-'Discom Combined'!H184)*0.4358</f>
        <v>1035.3679383953788</v>
      </c>
      <c r="I165" s="200">
        <f>('Delhi SummerApr-Sep'!I131+'Delhi SummerApr-Sep'!I135-'Discom Combined'!I145-'Discom Combined'!I155-'Discom Combined'!I166-'Discom Combined'!I180-'Discom Combined'!I184)*0.4358</f>
        <v>1135.601938395379</v>
      </c>
      <c r="J165" s="76">
        <f>('Delhi SummerApr-Sep'!J131+'Delhi SummerApr-Sep'!J135-'Discom Combined'!J145-'Discom Combined'!J155-'Discom Combined'!J166-'Discom Combined'!J180-'Discom Combined'!J184)*0.4358</f>
        <v>1146.061138395379</v>
      </c>
      <c r="K165" s="123">
        <f>('Delhi SummerApr-Sep'!K131+'Delhi SummerApr-Sep'!K135-'Discom Combined'!K145-'Discom Combined'!K155-'Discom Combined'!K166-'Discom Combined'!K180-'Discom Combined'!K184)*0.4358</f>
        <v>1035.3679383953788</v>
      </c>
      <c r="L165" s="76">
        <f>('Delhi SummerApr-Sep'!L131+'Delhi SummerApr-Sep'!L135-'Discom Combined'!L145-'Discom Combined'!L155-'Discom Combined'!L166-'Discom Combined'!L180-'Discom Combined'!L184)*0.4358</f>
        <v>1084.2181044003937</v>
      </c>
      <c r="M165" s="148">
        <f>('Delhi SummerApr-Sep'!M131+'Delhi SummerApr-Sep'!M135-'Discom Combined'!M145-'Discom Combined'!M155-'Discom Combined'!M166-'Discom Combined'!M180-'Discom Combined'!M184)*0.4358</f>
        <v>1094.6773044003937</v>
      </c>
      <c r="N165" s="76">
        <f>('Delhi SummerApr-Sep'!N131+'Delhi SummerApr-Sep'!N135-'Discom Combined'!N145-'Discom Combined'!N155-'Discom Combined'!N166-'Discom Combined'!N180-'Discom Combined'!N184)*0.4358</f>
        <v>983.9841044003938</v>
      </c>
      <c r="P165" s="182"/>
      <c r="Q165" s="182"/>
      <c r="R165" s="182"/>
      <c r="S165" s="182"/>
      <c r="T165" s="182"/>
    </row>
    <row r="166" spans="1:20" ht="12.75">
      <c r="A166" s="61">
        <v>2</v>
      </c>
      <c r="B166" s="122" t="s">
        <v>47</v>
      </c>
      <c r="C166" s="76">
        <f>(266*((2393-95)/2393))*0.1+C179</f>
        <v>70.27204567112634</v>
      </c>
      <c r="D166" s="76">
        <f aca="true" t="shared" si="53" ref="D166:K166">(266*((2393-95)/2393))*0.1+D179</f>
        <v>70.27204567112634</v>
      </c>
      <c r="E166" s="76">
        <f t="shared" si="53"/>
        <v>70.27204567112634</v>
      </c>
      <c r="F166" s="76">
        <f t="shared" si="53"/>
        <v>70.27204567112634</v>
      </c>
      <c r="G166" s="76">
        <f t="shared" si="53"/>
        <v>70.27204567112634</v>
      </c>
      <c r="H166" s="76">
        <f t="shared" si="53"/>
        <v>70.27204567112634</v>
      </c>
      <c r="I166" s="76">
        <f t="shared" si="53"/>
        <v>70.27204567112634</v>
      </c>
      <c r="J166" s="76">
        <f t="shared" si="53"/>
        <v>70.27204567112634</v>
      </c>
      <c r="K166" s="76">
        <f t="shared" si="53"/>
        <v>70.27204567112634</v>
      </c>
      <c r="L166" s="76">
        <f>(266*((2393-210-95)/2393))*0.1+L179</f>
        <v>63.94646743035795</v>
      </c>
      <c r="M166" s="76">
        <f>(266*((2393-210-95)/2393))*0.1+M179</f>
        <v>63.94646743035795</v>
      </c>
      <c r="N166" s="76">
        <f>(266*((2393-210-95)/2393))*0.1+N179</f>
        <v>63.94646743035795</v>
      </c>
      <c r="P166" s="182"/>
      <c r="Q166" s="182"/>
      <c r="R166" s="182"/>
      <c r="S166" s="182"/>
      <c r="T166" s="182"/>
    </row>
    <row r="167" spans="1:20" ht="13.5" customHeight="1">
      <c r="A167" s="61">
        <v>3</v>
      </c>
      <c r="B167" s="167" t="s">
        <v>48</v>
      </c>
      <c r="C167" s="76">
        <f>'Delhi SummerApr-Sep'!C137*0.4358</f>
        <v>92.21528000000002</v>
      </c>
      <c r="D167" s="148">
        <f>'Delhi SummerApr-Sep'!D137*0.4358</f>
        <v>92.21528000000002</v>
      </c>
      <c r="E167" s="123">
        <f>'Delhi SummerApr-Sep'!E137*0.4358</f>
        <v>92.21528000000002</v>
      </c>
      <c r="F167" s="76">
        <f>'Delhi SummerApr-Sep'!F137*0.4358</f>
        <v>92.21528000000002</v>
      </c>
      <c r="G167" s="148">
        <f>'Delhi SummerApr-Sep'!G137*0.4358</f>
        <v>92.21528000000002</v>
      </c>
      <c r="H167" s="123">
        <f>'Delhi SummerApr-Sep'!H137*0.4358</f>
        <v>92.21528000000002</v>
      </c>
      <c r="I167" s="200">
        <f>'Delhi SummerApr-Sep'!I137*0.4358</f>
        <v>92.21528000000002</v>
      </c>
      <c r="J167" s="76">
        <f>'Delhi SummerApr-Sep'!J137*0.4358</f>
        <v>92.21528000000002</v>
      </c>
      <c r="K167" s="123">
        <f>'Delhi SummerApr-Sep'!K137*0.4358</f>
        <v>92.21528000000002</v>
      </c>
      <c r="L167" s="76">
        <f>'Delhi SummerApr-Sep'!L137*0.4358</f>
        <v>92.21528000000002</v>
      </c>
      <c r="M167" s="148">
        <f>'Delhi SummerApr-Sep'!M137*0.4358</f>
        <v>92.21528000000002</v>
      </c>
      <c r="N167" s="76">
        <f>'Delhi SummerApr-Sep'!N137*0.4358</f>
        <v>92.21528000000002</v>
      </c>
      <c r="P167" s="189"/>
      <c r="Q167" s="190"/>
      <c r="R167" s="190"/>
      <c r="S167" s="190"/>
      <c r="T167" s="182"/>
    </row>
    <row r="168" spans="1:14" ht="14.25" customHeight="1">
      <c r="A168" s="216">
        <v>4</v>
      </c>
      <c r="B168" s="219" t="s">
        <v>112</v>
      </c>
      <c r="C168" s="59">
        <f aca="true" t="shared" si="54" ref="C168:H168">60*0.96</f>
        <v>57.599999999999994</v>
      </c>
      <c r="D168" s="59">
        <f t="shared" si="54"/>
        <v>57.599999999999994</v>
      </c>
      <c r="E168" s="59">
        <f t="shared" si="54"/>
        <v>57.599999999999994</v>
      </c>
      <c r="F168" s="59">
        <f t="shared" si="54"/>
        <v>57.599999999999994</v>
      </c>
      <c r="G168" s="59">
        <f t="shared" si="54"/>
        <v>57.599999999999994</v>
      </c>
      <c r="H168" s="59">
        <f t="shared" si="54"/>
        <v>57.599999999999994</v>
      </c>
      <c r="I168" s="204">
        <v>0</v>
      </c>
      <c r="J168" s="204">
        <v>0</v>
      </c>
      <c r="K168" s="204">
        <v>0</v>
      </c>
      <c r="L168" s="204">
        <v>0</v>
      </c>
      <c r="M168" s="204">
        <v>0</v>
      </c>
      <c r="N168" s="204">
        <v>0</v>
      </c>
    </row>
    <row r="169" spans="1:14" ht="14.25" customHeight="1">
      <c r="A169" s="216">
        <v>5</v>
      </c>
      <c r="B169" s="215" t="s">
        <v>108</v>
      </c>
      <c r="C169" s="59">
        <f>30*0.92</f>
        <v>27.6</v>
      </c>
      <c r="D169" s="59">
        <f aca="true" t="shared" si="55" ref="D169:N169">30*0.92</f>
        <v>27.6</v>
      </c>
      <c r="E169" s="59">
        <f t="shared" si="55"/>
        <v>27.6</v>
      </c>
      <c r="F169" s="59">
        <f t="shared" si="55"/>
        <v>27.6</v>
      </c>
      <c r="G169" s="59">
        <f t="shared" si="55"/>
        <v>27.6</v>
      </c>
      <c r="H169" s="59">
        <f t="shared" si="55"/>
        <v>27.6</v>
      </c>
      <c r="I169" s="59">
        <f t="shared" si="55"/>
        <v>27.6</v>
      </c>
      <c r="J169" s="59">
        <f t="shared" si="55"/>
        <v>27.6</v>
      </c>
      <c r="K169" s="59">
        <f t="shared" si="55"/>
        <v>27.6</v>
      </c>
      <c r="L169" s="59">
        <f t="shared" si="55"/>
        <v>27.6</v>
      </c>
      <c r="M169" s="59">
        <f t="shared" si="55"/>
        <v>27.6</v>
      </c>
      <c r="N169" s="59">
        <f t="shared" si="55"/>
        <v>27.6</v>
      </c>
    </row>
    <row r="170" spans="1:14" ht="14.25" customHeight="1">
      <c r="A170" s="216">
        <v>6</v>
      </c>
      <c r="B170" s="215" t="s">
        <v>109</v>
      </c>
      <c r="C170" s="59">
        <v>92</v>
      </c>
      <c r="D170" s="59">
        <v>92</v>
      </c>
      <c r="E170" s="59">
        <v>92</v>
      </c>
      <c r="F170" s="59">
        <v>92</v>
      </c>
      <c r="G170" s="59">
        <v>92</v>
      </c>
      <c r="H170" s="59">
        <v>92</v>
      </c>
      <c r="I170" s="59">
        <v>92</v>
      </c>
      <c r="J170" s="59">
        <v>92</v>
      </c>
      <c r="K170" s="59">
        <v>92</v>
      </c>
      <c r="L170" s="59">
        <v>92</v>
      </c>
      <c r="M170" s="59">
        <v>92</v>
      </c>
      <c r="N170" s="59">
        <v>92</v>
      </c>
    </row>
    <row r="171" spans="1:14" ht="14.25" customHeight="1">
      <c r="A171" s="216">
        <v>7</v>
      </c>
      <c r="B171" s="215" t="s">
        <v>110</v>
      </c>
      <c r="C171" s="59">
        <f aca="true" t="shared" si="56" ref="C171:H171">60*0.92</f>
        <v>55.2</v>
      </c>
      <c r="D171" s="59">
        <f t="shared" si="56"/>
        <v>55.2</v>
      </c>
      <c r="E171" s="59">
        <f t="shared" si="56"/>
        <v>55.2</v>
      </c>
      <c r="F171" s="59">
        <f t="shared" si="56"/>
        <v>55.2</v>
      </c>
      <c r="G171" s="59">
        <f t="shared" si="56"/>
        <v>55.2</v>
      </c>
      <c r="H171" s="59">
        <f t="shared" si="56"/>
        <v>55.2</v>
      </c>
      <c r="I171" s="59">
        <f aca="true" t="shared" si="57" ref="I171:N171">52*0.92</f>
        <v>47.84</v>
      </c>
      <c r="J171" s="59">
        <f t="shared" si="57"/>
        <v>47.84</v>
      </c>
      <c r="K171" s="59">
        <f t="shared" si="57"/>
        <v>47.84</v>
      </c>
      <c r="L171" s="59">
        <f t="shared" si="57"/>
        <v>47.84</v>
      </c>
      <c r="M171" s="59">
        <f t="shared" si="57"/>
        <v>47.84</v>
      </c>
      <c r="N171" s="59">
        <f t="shared" si="57"/>
        <v>47.84</v>
      </c>
    </row>
    <row r="172" spans="1:14" ht="14.25" customHeight="1">
      <c r="A172" s="216">
        <v>8</v>
      </c>
      <c r="B172" s="215" t="s">
        <v>105</v>
      </c>
      <c r="C172" s="204">
        <v>92</v>
      </c>
      <c r="D172" s="204">
        <v>92</v>
      </c>
      <c r="E172" s="204">
        <v>92</v>
      </c>
      <c r="F172" s="204">
        <v>92</v>
      </c>
      <c r="G172" s="204">
        <v>92</v>
      </c>
      <c r="H172" s="204">
        <v>92</v>
      </c>
      <c r="I172" s="204">
        <v>92</v>
      </c>
      <c r="J172" s="204">
        <v>92</v>
      </c>
      <c r="K172" s="204">
        <v>92</v>
      </c>
      <c r="L172" s="204">
        <v>92</v>
      </c>
      <c r="M172" s="204">
        <v>92</v>
      </c>
      <c r="N172" s="204">
        <v>92</v>
      </c>
    </row>
    <row r="173" spans="1:14" ht="14.25" customHeight="1">
      <c r="A173" s="216">
        <v>9</v>
      </c>
      <c r="B173" s="215" t="s">
        <v>104</v>
      </c>
      <c r="C173" s="204">
        <v>92</v>
      </c>
      <c r="D173" s="204">
        <v>92</v>
      </c>
      <c r="E173" s="204">
        <v>92</v>
      </c>
      <c r="F173" s="204">
        <v>92</v>
      </c>
      <c r="G173" s="204">
        <v>92</v>
      </c>
      <c r="H173" s="204">
        <v>92</v>
      </c>
      <c r="I173" s="204">
        <v>92</v>
      </c>
      <c r="J173" s="204">
        <v>92</v>
      </c>
      <c r="K173" s="204">
        <v>92</v>
      </c>
      <c r="L173" s="204">
        <v>92</v>
      </c>
      <c r="M173" s="204">
        <v>92</v>
      </c>
      <c r="N173" s="204">
        <v>92</v>
      </c>
    </row>
    <row r="174" spans="1:20" s="62" customFormat="1" ht="13.5" thickBot="1">
      <c r="A174" s="135">
        <v>10</v>
      </c>
      <c r="B174" s="120" t="s">
        <v>49</v>
      </c>
      <c r="C174" s="168">
        <f>SUM(C165:C173)</f>
        <v>1714.4892640665053</v>
      </c>
      <c r="D174" s="168">
        <f aca="true" t="shared" si="58" ref="D174:N174">SUM(D165:D173)</f>
        <v>1724.9484640665053</v>
      </c>
      <c r="E174" s="168">
        <f t="shared" si="58"/>
        <v>1614.255264066505</v>
      </c>
      <c r="F174" s="168">
        <f t="shared" si="58"/>
        <v>1714.4892640665053</v>
      </c>
      <c r="G174" s="168">
        <f t="shared" si="58"/>
        <v>1724.9484640665053</v>
      </c>
      <c r="H174" s="168">
        <f t="shared" si="58"/>
        <v>1614.255264066505</v>
      </c>
      <c r="I174" s="168">
        <f t="shared" si="58"/>
        <v>1649.5292640665052</v>
      </c>
      <c r="J174" s="168">
        <f t="shared" si="58"/>
        <v>1659.9884640665052</v>
      </c>
      <c r="K174" s="168">
        <f t="shared" si="58"/>
        <v>1549.295264066505</v>
      </c>
      <c r="L174" s="168">
        <f t="shared" si="58"/>
        <v>1591.8198518307515</v>
      </c>
      <c r="M174" s="168">
        <f t="shared" si="58"/>
        <v>1602.2790518307515</v>
      </c>
      <c r="N174" s="168">
        <f t="shared" si="58"/>
        <v>1491.5858518307516</v>
      </c>
      <c r="P174" s="191"/>
      <c r="Q174" s="192"/>
      <c r="R174" s="192"/>
      <c r="S174" s="192"/>
      <c r="T174" s="31"/>
    </row>
    <row r="175" spans="1:20" ht="13.5" thickBot="1">
      <c r="A175" s="77"/>
      <c r="B175" s="134" t="s">
        <v>96</v>
      </c>
      <c r="C175" s="71">
        <f>+C174-C163</f>
        <v>47.554264066505084</v>
      </c>
      <c r="D175" s="79">
        <f aca="true" t="shared" si="59" ref="D175:N175">+D174-D163</f>
        <v>101.59346406650525</v>
      </c>
      <c r="E175" s="73">
        <f t="shared" si="59"/>
        <v>97.67126406650505</v>
      </c>
      <c r="F175" s="71">
        <f t="shared" si="59"/>
        <v>25.76426406650512</v>
      </c>
      <c r="G175" s="208">
        <f t="shared" si="59"/>
        <v>-50.936535933494724</v>
      </c>
      <c r="H175" s="73">
        <f t="shared" si="59"/>
        <v>97.67126406650505</v>
      </c>
      <c r="I175" s="211">
        <f t="shared" si="59"/>
        <v>-108.92373593349475</v>
      </c>
      <c r="J175" s="109">
        <f t="shared" si="59"/>
        <v>-142.0445359334949</v>
      </c>
      <c r="K175" s="73">
        <f t="shared" si="59"/>
        <v>6.5632640665050985</v>
      </c>
      <c r="L175" s="109">
        <f t="shared" si="59"/>
        <v>-14.10314816924847</v>
      </c>
      <c r="M175" s="208">
        <f t="shared" si="59"/>
        <v>-25.433948169248424</v>
      </c>
      <c r="N175" s="71">
        <f t="shared" si="59"/>
        <v>57.803851830751455</v>
      </c>
      <c r="P175" s="189"/>
      <c r="Q175" s="190"/>
      <c r="R175" s="190"/>
      <c r="S175" s="190"/>
      <c r="T175" s="182"/>
    </row>
    <row r="176" spans="1:20" ht="15.75" customHeight="1" thickBot="1">
      <c r="A176" s="456" t="s">
        <v>57</v>
      </c>
      <c r="B176" s="452"/>
      <c r="C176" s="71"/>
      <c r="D176" s="79"/>
      <c r="E176" s="73"/>
      <c r="F176" s="71"/>
      <c r="G176" s="79"/>
      <c r="H176" s="73"/>
      <c r="I176" s="78"/>
      <c r="J176" s="71"/>
      <c r="K176" s="73"/>
      <c r="L176" s="71"/>
      <c r="M176" s="79"/>
      <c r="N176" s="71"/>
      <c r="P176" s="182"/>
      <c r="Q176" s="182"/>
      <c r="R176" s="190"/>
      <c r="S176" s="190"/>
      <c r="T176" s="182"/>
    </row>
    <row r="177" spans="1:14" s="62" customFormat="1" ht="12.75" customHeight="1">
      <c r="A177" s="172" t="s">
        <v>97</v>
      </c>
      <c r="B177" s="173" t="s">
        <v>58</v>
      </c>
      <c r="C177" s="161">
        <v>290</v>
      </c>
      <c r="D177" s="174">
        <v>240</v>
      </c>
      <c r="E177" s="161">
        <v>190</v>
      </c>
      <c r="F177" s="161">
        <v>290</v>
      </c>
      <c r="G177" s="174">
        <v>240</v>
      </c>
      <c r="H177" s="161">
        <v>190</v>
      </c>
      <c r="I177" s="161">
        <v>280</v>
      </c>
      <c r="J177" s="174">
        <v>230</v>
      </c>
      <c r="K177" s="161">
        <v>180</v>
      </c>
      <c r="L177" s="161">
        <v>280</v>
      </c>
      <c r="M177" s="174">
        <v>230</v>
      </c>
      <c r="N177" s="161">
        <v>180</v>
      </c>
    </row>
    <row r="178" spans="1:14" ht="12.75">
      <c r="A178" s="135"/>
      <c r="B178" s="101" t="s">
        <v>88</v>
      </c>
      <c r="C178" s="76">
        <f>+(((113*((705-95)/705)+(107*((840-0)/840))+(95*((330-0)/330)))))</f>
        <v>299.7730496453901</v>
      </c>
      <c r="D178" s="76">
        <f aca="true" t="shared" si="60" ref="D178:K178">+(((113*((705-95)/705)+(107*((840-0)/840))+(95*((330-0)/330)))))</f>
        <v>299.7730496453901</v>
      </c>
      <c r="E178" s="76">
        <f t="shared" si="60"/>
        <v>299.7730496453901</v>
      </c>
      <c r="F178" s="76">
        <f t="shared" si="60"/>
        <v>299.7730496453901</v>
      </c>
      <c r="G178" s="76">
        <f t="shared" si="60"/>
        <v>299.7730496453901</v>
      </c>
      <c r="H178" s="76">
        <f t="shared" si="60"/>
        <v>299.7730496453901</v>
      </c>
      <c r="I178" s="76">
        <f t="shared" si="60"/>
        <v>299.7730496453901</v>
      </c>
      <c r="J178" s="76">
        <f t="shared" si="60"/>
        <v>299.7730496453901</v>
      </c>
      <c r="K178" s="76">
        <f t="shared" si="60"/>
        <v>299.7730496453901</v>
      </c>
      <c r="L178" s="76">
        <f>+(((113*((705-95)/705)+(107*((840-210)/840))+(95*((330-0)/330)))))</f>
        <v>273.0230496453901</v>
      </c>
      <c r="M178" s="76">
        <f>+(((113*((705-95)/705)+(107*((840-210)/840))+(95*((330-0)/330)))))</f>
        <v>273.0230496453901</v>
      </c>
      <c r="N178" s="76">
        <f>+(((113*((705-95)/705)+(107*((840-210)/840))+(95*((330-0)/330)))))</f>
        <v>273.0230496453901</v>
      </c>
    </row>
    <row r="179" spans="1:14" ht="12.75">
      <c r="A179" s="80"/>
      <c r="B179" s="126" t="s">
        <v>98</v>
      </c>
      <c r="C179" s="76">
        <f aca="true" t="shared" si="61" ref="C179:N179">47*C178/315</f>
        <v>44.72804232804233</v>
      </c>
      <c r="D179" s="83">
        <f t="shared" si="61"/>
        <v>44.72804232804233</v>
      </c>
      <c r="E179" s="123">
        <f t="shared" si="61"/>
        <v>44.72804232804233</v>
      </c>
      <c r="F179" s="76">
        <f t="shared" si="61"/>
        <v>44.72804232804233</v>
      </c>
      <c r="G179" s="83">
        <f t="shared" si="61"/>
        <v>44.72804232804233</v>
      </c>
      <c r="H179" s="123">
        <f t="shared" si="61"/>
        <v>44.72804232804233</v>
      </c>
      <c r="I179" s="200">
        <f t="shared" si="61"/>
        <v>44.72804232804233</v>
      </c>
      <c r="J179" s="76">
        <f t="shared" si="61"/>
        <v>44.72804232804233</v>
      </c>
      <c r="K179" s="123">
        <f t="shared" si="61"/>
        <v>44.72804232804233</v>
      </c>
      <c r="L179" s="76">
        <f t="shared" si="61"/>
        <v>40.73677248677249</v>
      </c>
      <c r="M179" s="83">
        <f t="shared" si="61"/>
        <v>40.73677248677249</v>
      </c>
      <c r="N179" s="76">
        <f t="shared" si="61"/>
        <v>40.73677248677249</v>
      </c>
    </row>
    <row r="180" spans="1:14" s="62" customFormat="1" ht="13.5" thickBot="1">
      <c r="A180" s="34"/>
      <c r="B180" s="136" t="s">
        <v>99</v>
      </c>
      <c r="C180" s="168">
        <f aca="true" t="shared" si="62" ref="C180:N180">+C178-C179</f>
        <v>255.04500731734774</v>
      </c>
      <c r="D180" s="169">
        <f t="shared" si="62"/>
        <v>255.04500731734774</v>
      </c>
      <c r="E180" s="170">
        <f t="shared" si="62"/>
        <v>255.04500731734774</v>
      </c>
      <c r="F180" s="168">
        <f t="shared" si="62"/>
        <v>255.04500731734774</v>
      </c>
      <c r="G180" s="169">
        <f t="shared" si="62"/>
        <v>255.04500731734774</v>
      </c>
      <c r="H180" s="170">
        <f t="shared" si="62"/>
        <v>255.04500731734774</v>
      </c>
      <c r="I180" s="201">
        <f t="shared" si="62"/>
        <v>255.04500731734774</v>
      </c>
      <c r="J180" s="168">
        <f t="shared" si="62"/>
        <v>255.04500731734774</v>
      </c>
      <c r="K180" s="170">
        <f t="shared" si="62"/>
        <v>255.04500731734774</v>
      </c>
      <c r="L180" s="168">
        <f t="shared" si="62"/>
        <v>232.2862771586176</v>
      </c>
      <c r="M180" s="169">
        <f t="shared" si="62"/>
        <v>232.2862771586176</v>
      </c>
      <c r="N180" s="168">
        <f t="shared" si="62"/>
        <v>232.2862771586176</v>
      </c>
    </row>
    <row r="181" spans="1:14" ht="14.25" customHeight="1" thickBot="1">
      <c r="A181" s="34"/>
      <c r="B181" s="136" t="s">
        <v>59</v>
      </c>
      <c r="C181" s="109">
        <f aca="true" t="shared" si="63" ref="C181:N181">+C180-C177</f>
        <v>-34.95499268265226</v>
      </c>
      <c r="D181" s="79">
        <f t="shared" si="63"/>
        <v>15.04500731734774</v>
      </c>
      <c r="E181" s="73">
        <f t="shared" si="63"/>
        <v>65.04500731734774</v>
      </c>
      <c r="F181" s="109">
        <f t="shared" si="63"/>
        <v>-34.95499268265226</v>
      </c>
      <c r="G181" s="79">
        <f t="shared" si="63"/>
        <v>15.04500731734774</v>
      </c>
      <c r="H181" s="73">
        <f t="shared" si="63"/>
        <v>65.04500731734774</v>
      </c>
      <c r="I181" s="211">
        <f t="shared" si="63"/>
        <v>-24.95499268265226</v>
      </c>
      <c r="J181" s="71">
        <f t="shared" si="63"/>
        <v>25.04500731734774</v>
      </c>
      <c r="K181" s="73">
        <f t="shared" si="63"/>
        <v>75.04500731734774</v>
      </c>
      <c r="L181" s="109">
        <f t="shared" si="63"/>
        <v>-47.713722841382406</v>
      </c>
      <c r="M181" s="79">
        <f t="shared" si="63"/>
        <v>2.286277158617594</v>
      </c>
      <c r="N181" s="71">
        <f t="shared" si="63"/>
        <v>52.286277158617594</v>
      </c>
    </row>
    <row r="182" spans="1:14" ht="16.5" customHeight="1" thickBot="1">
      <c r="A182" s="456" t="s">
        <v>60</v>
      </c>
      <c r="B182" s="452"/>
      <c r="C182" s="71"/>
      <c r="D182" s="79"/>
      <c r="E182" s="73"/>
      <c r="F182" s="71"/>
      <c r="G182" s="79"/>
      <c r="H182" s="73"/>
      <c r="I182" s="78"/>
      <c r="J182" s="71"/>
      <c r="K182" s="73"/>
      <c r="L182" s="71"/>
      <c r="M182" s="79"/>
      <c r="N182" s="71"/>
    </row>
    <row r="183" spans="1:14" s="62" customFormat="1" ht="12.75" customHeight="1">
      <c r="A183" s="172" t="s">
        <v>100</v>
      </c>
      <c r="B183" s="173" t="s">
        <v>61</v>
      </c>
      <c r="C183" s="161">
        <v>35</v>
      </c>
      <c r="D183" s="174">
        <v>35</v>
      </c>
      <c r="E183" s="163">
        <v>30</v>
      </c>
      <c r="F183" s="161">
        <v>35</v>
      </c>
      <c r="G183" s="174">
        <v>35</v>
      </c>
      <c r="H183" s="163">
        <v>30</v>
      </c>
      <c r="I183" s="161">
        <v>35</v>
      </c>
      <c r="J183" s="174">
        <v>35</v>
      </c>
      <c r="K183" s="163">
        <v>30</v>
      </c>
      <c r="L183" s="161">
        <v>35</v>
      </c>
      <c r="M183" s="174">
        <v>35</v>
      </c>
      <c r="N183" s="161">
        <v>30</v>
      </c>
    </row>
    <row r="184" spans="1:14" s="62" customFormat="1" ht="13.5" thickBot="1">
      <c r="A184" s="135"/>
      <c r="B184" s="120" t="s">
        <v>62</v>
      </c>
      <c r="C184" s="168">
        <f>+(45*((705-0)/705))</f>
        <v>45</v>
      </c>
      <c r="D184" s="169">
        <f aca="true" t="shared" si="64" ref="D184:N184">+(45*((705-0)/705))</f>
        <v>45</v>
      </c>
      <c r="E184" s="170">
        <f t="shared" si="64"/>
        <v>45</v>
      </c>
      <c r="F184" s="168">
        <f t="shared" si="64"/>
        <v>45</v>
      </c>
      <c r="G184" s="175">
        <f t="shared" si="64"/>
        <v>45</v>
      </c>
      <c r="H184" s="170">
        <f t="shared" si="64"/>
        <v>45</v>
      </c>
      <c r="I184" s="201">
        <f t="shared" si="64"/>
        <v>45</v>
      </c>
      <c r="J184" s="168">
        <f t="shared" si="64"/>
        <v>45</v>
      </c>
      <c r="K184" s="170">
        <f t="shared" si="64"/>
        <v>45</v>
      </c>
      <c r="L184" s="168">
        <f t="shared" si="64"/>
        <v>45</v>
      </c>
      <c r="M184" s="175">
        <f t="shared" si="64"/>
        <v>45</v>
      </c>
      <c r="N184" s="168">
        <f t="shared" si="64"/>
        <v>45</v>
      </c>
    </row>
    <row r="185" spans="1:14" ht="13.5" thickBot="1">
      <c r="A185" s="77"/>
      <c r="B185" s="134" t="s">
        <v>63</v>
      </c>
      <c r="C185" s="71">
        <f aca="true" t="shared" si="65" ref="C185:N185">+C184-C183</f>
        <v>10</v>
      </c>
      <c r="D185" s="79">
        <f t="shared" si="65"/>
        <v>10</v>
      </c>
      <c r="E185" s="73">
        <f t="shared" si="65"/>
        <v>15</v>
      </c>
      <c r="F185" s="71">
        <f t="shared" si="65"/>
        <v>10</v>
      </c>
      <c r="G185" s="79">
        <f t="shared" si="65"/>
        <v>10</v>
      </c>
      <c r="H185" s="73">
        <f t="shared" si="65"/>
        <v>15</v>
      </c>
      <c r="I185" s="78">
        <f t="shared" si="65"/>
        <v>10</v>
      </c>
      <c r="J185" s="71">
        <f t="shared" si="65"/>
        <v>10</v>
      </c>
      <c r="K185" s="73">
        <f t="shared" si="65"/>
        <v>15</v>
      </c>
      <c r="L185" s="71">
        <f t="shared" si="65"/>
        <v>10</v>
      </c>
      <c r="M185" s="79">
        <f t="shared" si="65"/>
        <v>10</v>
      </c>
      <c r="N185" s="71">
        <f t="shared" si="65"/>
        <v>15</v>
      </c>
    </row>
    <row r="186" spans="1:14" s="111" customFormat="1" ht="21.75" customHeight="1" thickBot="1">
      <c r="A186" s="184"/>
      <c r="B186" s="193" t="s">
        <v>64</v>
      </c>
      <c r="C186" s="152">
        <f aca="true" t="shared" si="66" ref="C186:N186">+C185+C181+C175+C161+C150</f>
        <v>39.59999999999977</v>
      </c>
      <c r="D186" s="150">
        <f t="shared" si="66"/>
        <v>213.5999999999999</v>
      </c>
      <c r="E186" s="127">
        <f t="shared" si="66"/>
        <v>259.59999999999945</v>
      </c>
      <c r="F186" s="225">
        <f t="shared" si="66"/>
        <v>-10.400000000000233</v>
      </c>
      <c r="G186" s="226">
        <f t="shared" si="66"/>
        <v>-136.40000000000023</v>
      </c>
      <c r="H186" s="127">
        <f t="shared" si="66"/>
        <v>259.59999999999945</v>
      </c>
      <c r="I186" s="365">
        <f t="shared" si="66"/>
        <v>-306.96000000000026</v>
      </c>
      <c r="J186" s="225">
        <f t="shared" si="66"/>
        <v>-332.96000000000015</v>
      </c>
      <c r="K186" s="127">
        <f t="shared" si="66"/>
        <v>63.039999999999594</v>
      </c>
      <c r="L186" s="225">
        <f t="shared" si="66"/>
        <v>-124.95999999999961</v>
      </c>
      <c r="M186" s="226">
        <f t="shared" si="66"/>
        <v>-100.95999999999984</v>
      </c>
      <c r="N186" s="152">
        <f t="shared" si="66"/>
        <v>145.04000000000016</v>
      </c>
    </row>
    <row r="187" spans="1:23" s="139" customFormat="1" ht="15" customHeight="1">
      <c r="A187" s="137"/>
      <c r="B187" s="138" t="s">
        <v>101</v>
      </c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1"/>
    </row>
    <row r="188" spans="1:22" s="139" customFormat="1" ht="12.75">
      <c r="A188" s="213">
        <v>1</v>
      </c>
      <c r="B188" s="17" t="s">
        <v>204</v>
      </c>
      <c r="C188" s="128"/>
      <c r="P188" s="142"/>
      <c r="Q188" s="142"/>
      <c r="R188" s="142"/>
      <c r="S188" s="142"/>
      <c r="T188" s="142"/>
      <c r="U188" s="142"/>
      <c r="V188" s="142"/>
    </row>
    <row r="189" spans="1:17" s="139" customFormat="1" ht="12.75">
      <c r="A189" s="1">
        <v>2</v>
      </c>
      <c r="B189" s="60" t="s">
        <v>89</v>
      </c>
      <c r="C189" s="129"/>
      <c r="P189" s="142"/>
      <c r="Q189" s="142"/>
    </row>
    <row r="190" spans="1:3" s="139" customFormat="1" ht="12.75">
      <c r="A190" s="1">
        <v>3</v>
      </c>
      <c r="B190" s="60" t="s">
        <v>207</v>
      </c>
      <c r="C190" s="129"/>
    </row>
    <row r="191" spans="1:22" s="139" customFormat="1" ht="12.75">
      <c r="A191" s="105">
        <v>4</v>
      </c>
      <c r="B191" s="60" t="s">
        <v>208</v>
      </c>
      <c r="C191" s="129"/>
      <c r="P191" s="142"/>
      <c r="Q191" s="142"/>
      <c r="R191" s="142"/>
      <c r="S191" s="142"/>
      <c r="T191" s="142"/>
      <c r="U191" s="142"/>
      <c r="V191" s="142"/>
    </row>
    <row r="192" spans="1:3" s="139" customFormat="1" ht="12.75">
      <c r="A192" s="105">
        <v>5</v>
      </c>
      <c r="B192" s="37" t="s">
        <v>214</v>
      </c>
      <c r="C192" s="143"/>
    </row>
    <row r="193" spans="1:3" s="139" customFormat="1" ht="12">
      <c r="A193" s="144"/>
      <c r="B193" s="143"/>
      <c r="C193" s="143"/>
    </row>
    <row r="194" spans="1:3" s="139" customFormat="1" ht="12.75">
      <c r="A194" s="105">
        <v>5</v>
      </c>
      <c r="B194" s="37" t="s">
        <v>209</v>
      </c>
      <c r="C194" s="143"/>
    </row>
    <row r="195" spans="1:3" s="139" customFormat="1" ht="12">
      <c r="A195" s="144"/>
      <c r="B195" s="143"/>
      <c r="C195" s="143"/>
    </row>
    <row r="196" s="132" customFormat="1" ht="12">
      <c r="A196" s="131"/>
    </row>
    <row r="197" s="132" customFormat="1" ht="12">
      <c r="A197" s="131"/>
    </row>
    <row r="203" spans="2:3" ht="12.75">
      <c r="B203" s="194"/>
      <c r="C203" s="194"/>
    </row>
  </sheetData>
  <mergeCells count="33">
    <mergeCell ref="A121:B121"/>
    <mergeCell ref="A77:B77"/>
    <mergeCell ref="A89:B89"/>
    <mergeCell ref="A100:B100"/>
    <mergeCell ref="A115:B115"/>
    <mergeCell ref="A26:B26"/>
    <mergeCell ref="A182:B182"/>
    <mergeCell ref="A13:B13"/>
    <mergeCell ref="A35:B35"/>
    <mergeCell ref="A46:B46"/>
    <mergeCell ref="A52:B52"/>
    <mergeCell ref="A141:B141"/>
    <mergeCell ref="A151:B151"/>
    <mergeCell ref="A162:B162"/>
    <mergeCell ref="A176:B176"/>
    <mergeCell ref="C7:H7"/>
    <mergeCell ref="C8:E8"/>
    <mergeCell ref="F8:H8"/>
    <mergeCell ref="I7:N7"/>
    <mergeCell ref="I8:K8"/>
    <mergeCell ref="L8:N8"/>
    <mergeCell ref="F72:H72"/>
    <mergeCell ref="I72:K72"/>
    <mergeCell ref="L72:N72"/>
    <mergeCell ref="I71:N71"/>
    <mergeCell ref="C71:H71"/>
    <mergeCell ref="C72:E72"/>
    <mergeCell ref="C135:H135"/>
    <mergeCell ref="C136:E136"/>
    <mergeCell ref="F136:H136"/>
    <mergeCell ref="I135:N135"/>
    <mergeCell ref="I136:K136"/>
    <mergeCell ref="L136:N136"/>
  </mergeCells>
  <printOptions horizontalCentered="1" verticalCentered="1"/>
  <pageMargins left="0.25" right="0.25" top="0" bottom="0" header="0" footer="0"/>
  <pageSetup horizontalDpi="300" verticalDpi="300" orientation="landscape" paperSize="9" scale="66" r:id="rId1"/>
  <rowBreaks count="2" manualBreakCount="2">
    <brk id="65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workbookViewId="0" topLeftCell="A1">
      <selection activeCell="L28" sqref="L28"/>
    </sheetView>
  </sheetViews>
  <sheetFormatPr defaultColWidth="9.140625" defaultRowHeight="12.75"/>
  <cols>
    <col min="1" max="1" width="6.28125" style="178" customWidth="1"/>
    <col min="2" max="2" width="77.140625" style="178" customWidth="1"/>
    <col min="3" max="4" width="10.7109375" style="178" customWidth="1"/>
    <col min="5" max="6" width="9.8515625" style="178" customWidth="1"/>
    <col min="7" max="7" width="11.28125" style="178" customWidth="1"/>
    <col min="8" max="8" width="9.8515625" style="178" customWidth="1"/>
    <col min="9" max="9" width="9.421875" style="178" customWidth="1"/>
    <col min="10" max="10" width="10.8515625" style="178" customWidth="1"/>
    <col min="11" max="12" width="7.7109375" style="178" customWidth="1"/>
    <col min="13" max="16" width="8.140625" style="178" customWidth="1"/>
    <col min="17" max="17" width="7.57421875" style="178" customWidth="1"/>
    <col min="18" max="18" width="9.140625" style="178" customWidth="1"/>
    <col min="19" max="19" width="10.28125" style="178" customWidth="1"/>
    <col min="20" max="16384" width="9.140625" style="178" customWidth="1"/>
  </cols>
  <sheetData>
    <row r="1" spans="2:6" ht="18">
      <c r="B1" s="110" t="s">
        <v>120</v>
      </c>
      <c r="E1" s="110"/>
      <c r="F1" s="110"/>
    </row>
    <row r="2" spans="2:3" ht="15">
      <c r="B2" s="111" t="s">
        <v>91</v>
      </c>
      <c r="C2" s="111"/>
    </row>
    <row r="3" ht="6" customHeight="1"/>
    <row r="4" spans="2:3" ht="15.75">
      <c r="B4" s="5" t="s">
        <v>197</v>
      </c>
      <c r="C4" s="65"/>
    </row>
    <row r="5" spans="1:12" ht="12.75">
      <c r="A5" s="66" t="s">
        <v>87</v>
      </c>
      <c r="K5" s="66"/>
      <c r="L5" s="66"/>
    </row>
    <row r="6" spans="1:12" ht="5.25" customHeight="1">
      <c r="A6" s="66"/>
      <c r="K6" s="66"/>
      <c r="L6" s="66"/>
    </row>
    <row r="7" spans="1:25" s="68" customFormat="1" ht="15" customHeight="1" thickBot="1">
      <c r="A7" s="67" t="s">
        <v>42</v>
      </c>
      <c r="D7" s="69"/>
      <c r="E7" s="69"/>
      <c r="F7" s="69"/>
      <c r="I7" s="430" t="s">
        <v>211</v>
      </c>
      <c r="N7" s="112"/>
      <c r="O7" s="69"/>
      <c r="P7" s="69"/>
      <c r="X7" s="4"/>
      <c r="Y7" s="99"/>
    </row>
    <row r="8" spans="1:10" ht="13.5" customHeight="1" thickBot="1">
      <c r="A8" s="113" t="s">
        <v>37</v>
      </c>
      <c r="B8" s="114" t="s">
        <v>38</v>
      </c>
      <c r="C8" s="448" t="s">
        <v>185</v>
      </c>
      <c r="D8" s="462"/>
      <c r="E8" s="462"/>
      <c r="F8" s="462"/>
      <c r="G8" s="462"/>
      <c r="H8" s="462"/>
      <c r="I8" s="462"/>
      <c r="J8" s="463"/>
    </row>
    <row r="9" spans="1:10" ht="15" customHeight="1" thickBot="1">
      <c r="A9" s="115" t="s">
        <v>39</v>
      </c>
      <c r="B9" s="396"/>
      <c r="C9" s="451" t="s">
        <v>66</v>
      </c>
      <c r="D9" s="464"/>
      <c r="E9" s="464"/>
      <c r="F9" s="463"/>
      <c r="G9" s="451" t="s">
        <v>67</v>
      </c>
      <c r="H9" s="464"/>
      <c r="I9" s="464"/>
      <c r="J9" s="463"/>
    </row>
    <row r="10" spans="1:10" ht="15" customHeight="1" thickBot="1">
      <c r="A10" s="115"/>
      <c r="B10" s="396"/>
      <c r="C10" s="12"/>
      <c r="D10" s="13" t="s">
        <v>192</v>
      </c>
      <c r="E10" s="13"/>
      <c r="F10" s="13" t="s">
        <v>193</v>
      </c>
      <c r="G10" s="12"/>
      <c r="H10" s="13" t="s">
        <v>192</v>
      </c>
      <c r="I10" s="13"/>
      <c r="J10" s="13" t="s">
        <v>193</v>
      </c>
    </row>
    <row r="11" spans="1:10" ht="15.75" customHeight="1" thickBot="1">
      <c r="A11" s="115"/>
      <c r="B11" s="116"/>
      <c r="C11" s="234" t="s">
        <v>125</v>
      </c>
      <c r="D11" s="235" t="s">
        <v>126</v>
      </c>
      <c r="E11" s="235" t="s">
        <v>127</v>
      </c>
      <c r="F11" s="236" t="s">
        <v>128</v>
      </c>
      <c r="G11" s="234" t="s">
        <v>125</v>
      </c>
      <c r="H11" s="235" t="s">
        <v>126</v>
      </c>
      <c r="I11" s="235" t="s">
        <v>127</v>
      </c>
      <c r="J11" s="236" t="s">
        <v>128</v>
      </c>
    </row>
    <row r="12" spans="1:10" s="62" customFormat="1" ht="13.5" customHeight="1" thickBot="1">
      <c r="A12" s="70" t="s">
        <v>40</v>
      </c>
      <c r="B12" s="117" t="s">
        <v>115</v>
      </c>
      <c r="C12" s="151">
        <v>3050.1196247472813</v>
      </c>
      <c r="D12" s="147">
        <v>3400</v>
      </c>
      <c r="E12" s="118">
        <v>3450</v>
      </c>
      <c r="F12" s="196">
        <v>3850</v>
      </c>
      <c r="G12" s="151">
        <v>2650</v>
      </c>
      <c r="H12" s="147">
        <v>3000</v>
      </c>
      <c r="I12" s="118">
        <v>3200</v>
      </c>
      <c r="J12" s="425">
        <v>3400</v>
      </c>
    </row>
    <row r="13" spans="1:10" s="62" customFormat="1" ht="12.75" customHeight="1" thickBot="1">
      <c r="A13" s="72" t="s">
        <v>41</v>
      </c>
      <c r="B13" s="119" t="s">
        <v>65</v>
      </c>
      <c r="C13" s="71">
        <f aca="true" t="shared" si="0" ref="C13:J13">+C12-C39-C45</f>
        <v>2935.1196247472813</v>
      </c>
      <c r="D13" s="79">
        <f t="shared" si="0"/>
        <v>3150</v>
      </c>
      <c r="E13" s="73">
        <f t="shared" si="0"/>
        <v>3280</v>
      </c>
      <c r="F13" s="73">
        <f t="shared" si="0"/>
        <v>3600</v>
      </c>
      <c r="G13" s="71">
        <f t="shared" si="0"/>
        <v>2535</v>
      </c>
      <c r="H13" s="79">
        <f t="shared" si="0"/>
        <v>2750</v>
      </c>
      <c r="I13" s="73">
        <f t="shared" si="0"/>
        <v>3030</v>
      </c>
      <c r="J13" s="71">
        <f t="shared" si="0"/>
        <v>3150</v>
      </c>
    </row>
    <row r="14" spans="1:10" ht="18.75" customHeight="1" thickBot="1">
      <c r="A14" s="456" t="s">
        <v>43</v>
      </c>
      <c r="B14" s="464"/>
      <c r="C14" s="397"/>
      <c r="D14" s="398"/>
      <c r="E14" s="399"/>
      <c r="F14" s="403"/>
      <c r="G14" s="397"/>
      <c r="H14" s="398"/>
      <c r="I14" s="399"/>
      <c r="J14" s="406"/>
    </row>
    <row r="15" spans="1:10" s="62" customFormat="1" ht="12.75" customHeight="1">
      <c r="A15" s="159" t="s">
        <v>92</v>
      </c>
      <c r="B15" s="160" t="s">
        <v>44</v>
      </c>
      <c r="C15" s="161">
        <f>+(C13*0.2918)</f>
        <v>856.4679065012567</v>
      </c>
      <c r="D15" s="162">
        <f aca="true" t="shared" si="1" ref="D15:J15">+(D13*0.2918)</f>
        <v>919.17</v>
      </c>
      <c r="E15" s="163">
        <f t="shared" si="1"/>
        <v>957.104</v>
      </c>
      <c r="F15" s="163">
        <f t="shared" si="1"/>
        <v>1050.48</v>
      </c>
      <c r="G15" s="161">
        <f t="shared" si="1"/>
        <v>739.713</v>
      </c>
      <c r="H15" s="162">
        <f t="shared" si="1"/>
        <v>802.45</v>
      </c>
      <c r="I15" s="161">
        <f t="shared" si="1"/>
        <v>884.154</v>
      </c>
      <c r="J15" s="174">
        <f t="shared" si="1"/>
        <v>919.17</v>
      </c>
    </row>
    <row r="16" spans="1:10" ht="12.75" customHeight="1">
      <c r="A16" s="61"/>
      <c r="B16" s="120" t="s">
        <v>45</v>
      </c>
      <c r="C16" s="74"/>
      <c r="D16" s="75"/>
      <c r="E16" s="121"/>
      <c r="F16" s="198"/>
      <c r="G16" s="74"/>
      <c r="H16" s="75"/>
      <c r="I16" s="74"/>
      <c r="J16" s="406"/>
    </row>
    <row r="17" spans="1:10" ht="12.75" customHeight="1">
      <c r="A17" s="61">
        <v>1</v>
      </c>
      <c r="B17" s="122" t="s">
        <v>46</v>
      </c>
      <c r="C17" s="400">
        <f>+(+'October 2009'!D28+'October 2009'!D32-C18-C26-C34-C42-C46)*0.2918</f>
        <v>591.6478442680929</v>
      </c>
      <c r="D17" s="400">
        <f>+(+'October 2009'!E28+'October 2009'!E32-D18-D26-D34-D42-D46)*0.2918</f>
        <v>666.0568442680928</v>
      </c>
      <c r="E17" s="400">
        <f>+(+'October 2009'!F28+'October 2009'!F32-E18-E26-E34-E42-E46)*0.2918</f>
        <v>591.6478442680929</v>
      </c>
      <c r="F17" s="400">
        <f>+(+'October 2009'!G28+'October 2009'!G32-F18-F26-F34-F42-F46)*0.2918</f>
        <v>688.2336442680929</v>
      </c>
      <c r="G17" s="400">
        <f>+(+'October 2009'!H28+'October 2009'!H32-G18-G26-G34-G42-G46)*0.2918</f>
        <v>606.3000219097366</v>
      </c>
      <c r="H17" s="400">
        <f>+(+'October 2009'!I28+'October 2009'!I32-H18-H26-H34-H42-H46)*0.2918</f>
        <v>680.7090219097366</v>
      </c>
      <c r="I17" s="400">
        <f>+(+'October 2009'!J28+'October 2009'!J32-I18-I26-I34-I42-I46)*0.2918</f>
        <v>606.3000219097366</v>
      </c>
      <c r="J17" s="408">
        <f>+(+'October 2009'!K28+'October 2009'!K32-J18-J26-J34-J42-J46)*0.2918</f>
        <v>680.7090219097366</v>
      </c>
    </row>
    <row r="18" spans="1:10" ht="12.75" customHeight="1">
      <c r="A18" s="61">
        <v>2</v>
      </c>
      <c r="B18" s="122" t="s">
        <v>47</v>
      </c>
      <c r="C18" s="76">
        <f>(266*((2393-210-95)/2393))*0.35</f>
        <v>81.23393230254909</v>
      </c>
      <c r="D18" s="76">
        <f>(266*((2393-210-95)/2393))*0.35</f>
        <v>81.23393230254909</v>
      </c>
      <c r="E18" s="76">
        <f>(266*((2393-210-95)/2393))*0.35</f>
        <v>81.23393230254909</v>
      </c>
      <c r="F18" s="76">
        <f>(266*((2393-210-95)/2393))*0.35</f>
        <v>81.23393230254909</v>
      </c>
      <c r="G18" s="76">
        <f>(266*((2393-210)/2393))*0.35</f>
        <v>84.92992060175511</v>
      </c>
      <c r="H18" s="76">
        <f>(266*((2393-210)/2393))*0.35</f>
        <v>84.92992060175511</v>
      </c>
      <c r="I18" s="76">
        <f>(266*((2393-210)/2393))*0.35</f>
        <v>84.92992060175511</v>
      </c>
      <c r="J18" s="76">
        <f>(266*((2393-210)/2393))*0.35</f>
        <v>84.92992060175511</v>
      </c>
    </row>
    <row r="19" spans="1:10" ht="12.75" customHeight="1">
      <c r="A19" s="61">
        <v>3</v>
      </c>
      <c r="B19" s="402" t="s">
        <v>102</v>
      </c>
      <c r="C19" s="76">
        <f>'October 2009'!D34*0.2918</f>
        <v>61.8616</v>
      </c>
      <c r="D19" s="76">
        <f>'October 2009'!E34*0.2918</f>
        <v>61.8616</v>
      </c>
      <c r="E19" s="76">
        <f>'October 2009'!F34*0.2918</f>
        <v>61.8616</v>
      </c>
      <c r="F19" s="76">
        <f>'October 2009'!G34*0.2918</f>
        <v>61.8616</v>
      </c>
      <c r="G19" s="76">
        <f>'October 2009'!H34*0.2918</f>
        <v>61.8616</v>
      </c>
      <c r="H19" s="76">
        <f>'October 2009'!I34*0.2918</f>
        <v>61.8616</v>
      </c>
      <c r="I19" s="76">
        <f>'October 2009'!J34*0.2918</f>
        <v>61.8616</v>
      </c>
      <c r="J19" s="83">
        <f>'October 2009'!K34*0.2918</f>
        <v>61.8616</v>
      </c>
    </row>
    <row r="20" spans="1:10" s="62" customFormat="1" ht="12.75" customHeight="1" thickBot="1">
      <c r="A20" s="34">
        <v>4</v>
      </c>
      <c r="B20" s="136" t="s">
        <v>49</v>
      </c>
      <c r="C20" s="407">
        <f>SUM(C17:C19)</f>
        <v>734.7433765706419</v>
      </c>
      <c r="D20" s="407">
        <f aca="true" t="shared" si="2" ref="D20:J20">SUM(D17:D19)</f>
        <v>809.1523765706419</v>
      </c>
      <c r="E20" s="407">
        <f t="shared" si="2"/>
        <v>734.7433765706419</v>
      </c>
      <c r="F20" s="407">
        <f t="shared" si="2"/>
        <v>831.329176570642</v>
      </c>
      <c r="G20" s="407">
        <f t="shared" si="2"/>
        <v>753.0915425114918</v>
      </c>
      <c r="H20" s="407">
        <f t="shared" si="2"/>
        <v>827.5005425114917</v>
      </c>
      <c r="I20" s="407">
        <f t="shared" si="2"/>
        <v>753.0915425114918</v>
      </c>
      <c r="J20" s="409">
        <f t="shared" si="2"/>
        <v>827.5005425114917</v>
      </c>
    </row>
    <row r="21" spans="1:10" ht="12.75" customHeight="1" thickBot="1">
      <c r="A21" s="81">
        <v>5</v>
      </c>
      <c r="B21" s="102" t="s">
        <v>50</v>
      </c>
      <c r="C21" s="109">
        <f>+C20-C15</f>
        <v>-121.72452993061484</v>
      </c>
      <c r="D21" s="109">
        <f aca="true" t="shared" si="3" ref="D21:J21">+D20-D15</f>
        <v>-110.01762342935808</v>
      </c>
      <c r="E21" s="109">
        <f t="shared" si="3"/>
        <v>-222.36062342935816</v>
      </c>
      <c r="F21" s="109">
        <f t="shared" si="3"/>
        <v>-219.15082342935807</v>
      </c>
      <c r="G21" s="71">
        <f t="shared" si="3"/>
        <v>13.378542511491787</v>
      </c>
      <c r="H21" s="71">
        <f t="shared" si="3"/>
        <v>25.0505425114917</v>
      </c>
      <c r="I21" s="109">
        <f t="shared" si="3"/>
        <v>-131.06245748850824</v>
      </c>
      <c r="J21" s="109">
        <f t="shared" si="3"/>
        <v>-91.66945748850821</v>
      </c>
    </row>
    <row r="22" spans="1:18" ht="16.5" customHeight="1" thickBot="1">
      <c r="A22" s="456" t="s">
        <v>54</v>
      </c>
      <c r="B22" s="464"/>
      <c r="C22" s="410"/>
      <c r="D22" s="411"/>
      <c r="E22" s="412"/>
      <c r="F22" s="405"/>
      <c r="G22" s="410"/>
      <c r="H22" s="411"/>
      <c r="I22" s="412"/>
      <c r="J22" s="406"/>
      <c r="R22" s="404"/>
    </row>
    <row r="23" spans="1:10" s="62" customFormat="1" ht="12.75" customHeight="1">
      <c r="A23" s="159" t="s">
        <v>93</v>
      </c>
      <c r="B23" s="160" t="s">
        <v>55</v>
      </c>
      <c r="C23" s="161">
        <f aca="true" t="shared" si="4" ref="C23:J23">+C13*0.2724</f>
        <v>799.5265857811594</v>
      </c>
      <c r="D23" s="162">
        <f t="shared" si="4"/>
        <v>858.06</v>
      </c>
      <c r="E23" s="163">
        <f t="shared" si="4"/>
        <v>893.4719999999999</v>
      </c>
      <c r="F23" s="163">
        <f>+F13*0.2724</f>
        <v>980.6399999999999</v>
      </c>
      <c r="G23" s="161">
        <f t="shared" si="4"/>
        <v>690.534</v>
      </c>
      <c r="H23" s="162">
        <f t="shared" si="4"/>
        <v>749.0999999999999</v>
      </c>
      <c r="I23" s="163">
        <f t="shared" si="4"/>
        <v>825.372</v>
      </c>
      <c r="J23" s="161">
        <f t="shared" si="4"/>
        <v>858.06</v>
      </c>
    </row>
    <row r="24" spans="1:10" ht="12.75" customHeight="1">
      <c r="A24" s="61"/>
      <c r="B24" s="120" t="s">
        <v>56</v>
      </c>
      <c r="C24" s="76"/>
      <c r="D24" s="83"/>
      <c r="E24" s="123"/>
      <c r="F24" s="200"/>
      <c r="G24" s="76"/>
      <c r="H24" s="83"/>
      <c r="I24" s="123"/>
      <c r="J24" s="406"/>
    </row>
    <row r="25" spans="1:10" ht="12.75" customHeight="1">
      <c r="A25" s="61">
        <v>1</v>
      </c>
      <c r="B25" s="122" t="s">
        <v>46</v>
      </c>
      <c r="C25" s="400">
        <f>+(+'October 2009'!D28+'October 2009'!D32-C18-C26-C34-C42-C46)*0.2724</f>
        <v>552.312792250269</v>
      </c>
      <c r="D25" s="400">
        <f>+(+'October 2009'!E28+'October 2009'!E32-D18-D26-D34-D42-D46)*0.2724</f>
        <v>621.774792250269</v>
      </c>
      <c r="E25" s="400">
        <f>+(+'October 2009'!F28+'October 2009'!F32-E18-E26-E34-E42-E46)*0.2724</f>
        <v>552.312792250269</v>
      </c>
      <c r="F25" s="400">
        <f>+(+'October 2009'!G28+'October 2009'!G32-F18-F26-F34-F42-F46)*0.2724</f>
        <v>642.477192250269</v>
      </c>
      <c r="G25" s="400">
        <f>+(+'October 2009'!H28+'October 2009'!H32-G18-G26-G34-G42-G46)*0.2724</f>
        <v>565.9908360802339</v>
      </c>
      <c r="H25" s="400">
        <f>+(+'October 2009'!I28+'October 2009'!I32-H18-H26-H34-H42-H46)*0.2724</f>
        <v>635.4528360802339</v>
      </c>
      <c r="I25" s="400">
        <f>+(+'October 2009'!J28+'October 2009'!J32-I18-I26-I34-I42-I46)*0.2724</f>
        <v>565.9908360802339</v>
      </c>
      <c r="J25" s="400">
        <f>+(+'October 2009'!K28+'October 2009'!K32-J18-J26-J34-J42-J46)*0.2724</f>
        <v>635.4528360802339</v>
      </c>
    </row>
    <row r="26" spans="1:10" ht="12.75" customHeight="1">
      <c r="A26" s="61">
        <v>2</v>
      </c>
      <c r="B26" s="122" t="s">
        <v>47</v>
      </c>
      <c r="C26" s="76">
        <f>(266*((2393-95-210)/2393))*0.55</f>
        <v>127.65332218972003</v>
      </c>
      <c r="D26" s="76">
        <f>(266*((2393-95-210)/2393))*0.55</f>
        <v>127.65332218972003</v>
      </c>
      <c r="E26" s="76">
        <f>(266*((2393-95-210)/2393))*0.55</f>
        <v>127.65332218972003</v>
      </c>
      <c r="F26" s="76">
        <f>(266*((2393-95-210)/2393))*0.55</f>
        <v>127.65332218972003</v>
      </c>
      <c r="G26" s="76">
        <f>(266*((2393-210)/2393))*0.55</f>
        <v>133.46130380275807</v>
      </c>
      <c r="H26" s="76">
        <f>(266*((2393-210)/2393))*0.55</f>
        <v>133.46130380275807</v>
      </c>
      <c r="I26" s="76">
        <f>(266*((2393-210)/2393))*0.55</f>
        <v>133.46130380275807</v>
      </c>
      <c r="J26" s="76">
        <f>(266*((2393-210)/2393))*0.55</f>
        <v>133.46130380275807</v>
      </c>
    </row>
    <row r="27" spans="1:10" ht="12.75" customHeight="1">
      <c r="A27" s="61">
        <v>3</v>
      </c>
      <c r="B27" s="402" t="s">
        <v>48</v>
      </c>
      <c r="C27" s="76">
        <f>'October 2009'!D34*0.2724</f>
        <v>57.748799999999996</v>
      </c>
      <c r="D27" s="76">
        <f>'October 2009'!E34*0.2724</f>
        <v>57.748799999999996</v>
      </c>
      <c r="E27" s="76">
        <f>'October 2009'!F34*0.2724</f>
        <v>57.748799999999996</v>
      </c>
      <c r="F27" s="76">
        <f>'October 2009'!G34*0.2724</f>
        <v>57.748799999999996</v>
      </c>
      <c r="G27" s="76">
        <f>'October 2009'!H34*0.2724</f>
        <v>57.748799999999996</v>
      </c>
      <c r="H27" s="76">
        <f>'October 2009'!I34*0.2724</f>
        <v>57.748799999999996</v>
      </c>
      <c r="I27" s="76">
        <f>'October 2009'!J34*0.2724</f>
        <v>57.748799999999996</v>
      </c>
      <c r="J27" s="76">
        <f>'October 2009'!K34*0.2724</f>
        <v>57.748799999999996</v>
      </c>
    </row>
    <row r="28" spans="1:10" s="62" customFormat="1" ht="12.75" customHeight="1" thickBot="1">
      <c r="A28" s="34">
        <v>4</v>
      </c>
      <c r="B28" s="136" t="s">
        <v>49</v>
      </c>
      <c r="C28" s="168">
        <f aca="true" t="shared" si="5" ref="C28:J28">SUM(C25:C27)</f>
        <v>737.714914439989</v>
      </c>
      <c r="D28" s="168">
        <f t="shared" si="5"/>
        <v>807.176914439989</v>
      </c>
      <c r="E28" s="168">
        <f t="shared" si="5"/>
        <v>737.714914439989</v>
      </c>
      <c r="F28" s="168">
        <f t="shared" si="5"/>
        <v>827.879314439989</v>
      </c>
      <c r="G28" s="168">
        <f t="shared" si="5"/>
        <v>757.2009398829919</v>
      </c>
      <c r="H28" s="168">
        <f t="shared" si="5"/>
        <v>826.6629398829919</v>
      </c>
      <c r="I28" s="168">
        <f t="shared" si="5"/>
        <v>757.2009398829919</v>
      </c>
      <c r="J28" s="168">
        <f t="shared" si="5"/>
        <v>826.6629398829919</v>
      </c>
    </row>
    <row r="29" spans="1:10" s="62" customFormat="1" ht="12.75" customHeight="1" thickBot="1">
      <c r="A29" s="81"/>
      <c r="B29" s="102" t="s">
        <v>94</v>
      </c>
      <c r="C29" s="109">
        <f aca="true" t="shared" si="6" ref="C29:J29">+C28-C23</f>
        <v>-61.81167134117038</v>
      </c>
      <c r="D29" s="208">
        <f t="shared" si="6"/>
        <v>-50.883085560010954</v>
      </c>
      <c r="E29" s="210">
        <f t="shared" si="6"/>
        <v>-155.75708556001086</v>
      </c>
      <c r="F29" s="210">
        <f t="shared" si="6"/>
        <v>-152.76068556001087</v>
      </c>
      <c r="G29" s="71">
        <f t="shared" si="6"/>
        <v>66.66693988299187</v>
      </c>
      <c r="H29" s="79">
        <f t="shared" si="6"/>
        <v>77.56293988299194</v>
      </c>
      <c r="I29" s="210">
        <f t="shared" si="6"/>
        <v>-68.1710601170081</v>
      </c>
      <c r="J29" s="109">
        <f t="shared" si="6"/>
        <v>-31.397060117008095</v>
      </c>
    </row>
    <row r="30" spans="1:10" ht="15.75" customHeight="1" thickBot="1">
      <c r="A30" s="456" t="s">
        <v>51</v>
      </c>
      <c r="B30" s="460"/>
      <c r="C30" s="416"/>
      <c r="D30" s="417"/>
      <c r="E30" s="418"/>
      <c r="F30" s="419"/>
      <c r="G30" s="416"/>
      <c r="H30" s="417"/>
      <c r="I30" s="418"/>
      <c r="J30" s="406"/>
    </row>
    <row r="31" spans="1:10" s="62" customFormat="1" ht="12.75" customHeight="1">
      <c r="A31" s="172" t="s">
        <v>95</v>
      </c>
      <c r="B31" s="173" t="s">
        <v>52</v>
      </c>
      <c r="C31" s="413">
        <f aca="true" t="shared" si="7" ref="C31:J31">+C13*0.4358</f>
        <v>1279.1251324648651</v>
      </c>
      <c r="D31" s="414">
        <f t="shared" si="7"/>
        <v>1372.77</v>
      </c>
      <c r="E31" s="415">
        <f t="shared" si="7"/>
        <v>1429.424</v>
      </c>
      <c r="F31" s="415">
        <f t="shared" si="7"/>
        <v>1568.88</v>
      </c>
      <c r="G31" s="413">
        <f t="shared" si="7"/>
        <v>1104.7530000000002</v>
      </c>
      <c r="H31" s="414">
        <f t="shared" si="7"/>
        <v>1198.45</v>
      </c>
      <c r="I31" s="420">
        <f t="shared" si="7"/>
        <v>1320.4740000000002</v>
      </c>
      <c r="J31" s="413">
        <f t="shared" si="7"/>
        <v>1372.77</v>
      </c>
    </row>
    <row r="32" spans="1:10" ht="12.75" customHeight="1">
      <c r="A32" s="61"/>
      <c r="B32" s="120" t="s">
        <v>53</v>
      </c>
      <c r="C32" s="76"/>
      <c r="D32" s="83"/>
      <c r="E32" s="123"/>
      <c r="F32" s="200"/>
      <c r="G32" s="76"/>
      <c r="H32" s="83"/>
      <c r="I32" s="200"/>
      <c r="J32" s="422"/>
    </row>
    <row r="33" spans="1:10" ht="12.75" customHeight="1">
      <c r="A33" s="61">
        <v>1</v>
      </c>
      <c r="B33" s="122" t="s">
        <v>46</v>
      </c>
      <c r="C33" s="400">
        <f>+(+'October 2009'!D28+'October 2009'!D32-C18-C26-C34-C42-C46)*0.4358</f>
        <v>883.6193644003937</v>
      </c>
      <c r="D33" s="400">
        <f>+(+'October 2009'!E28+'October 2009'!E32-D18-D26-D34-D42-D46)*0.4358</f>
        <v>994.7483644003937</v>
      </c>
      <c r="E33" s="400">
        <f>+(+'October 2009'!F28+'October 2009'!F32-E18-E26-E34-E42-E46)*0.4358</f>
        <v>883.6193644003937</v>
      </c>
      <c r="F33" s="400">
        <f>+(+'October 2009'!G28+'October 2009'!G32-F18-F26-F34-F42-F46)*0.4358</f>
        <v>1027.8691644003936</v>
      </c>
      <c r="G33" s="400">
        <f>+(+'October 2009'!H28+'October 2009'!H32-G18-G26-G34-G42-G46)*0.4358</f>
        <v>905.5022260050144</v>
      </c>
      <c r="H33" s="400">
        <f>+(+'October 2009'!I28+'October 2009'!I32-H18-H26-H34-H42-H46)*0.4358</f>
        <v>1016.6312260050145</v>
      </c>
      <c r="I33" s="401">
        <f>+(+'October 2009'!J28+'October 2009'!J32-I18-I26-I34-I42-I46)*0.4358</f>
        <v>905.5022260050144</v>
      </c>
      <c r="J33" s="400">
        <f>+(+'October 2009'!K28+'October 2009'!K32-J18-J26-J34-J42-J46)*0.4358</f>
        <v>1016.6312260050145</v>
      </c>
    </row>
    <row r="34" spans="1:10" ht="12.75" customHeight="1">
      <c r="A34" s="61">
        <v>2</v>
      </c>
      <c r="B34" s="122" t="s">
        <v>47</v>
      </c>
      <c r="C34" s="76">
        <f>(266*((2393-210-95)/2393))*0.1+C41</f>
        <v>63.94646743035795</v>
      </c>
      <c r="D34" s="76">
        <f>(266*((2393-210-95)/2393))*0.1+D41</f>
        <v>63.94646743035795</v>
      </c>
      <c r="E34" s="76">
        <f>(266*((2393-210-95)/2393))*0.1+E41</f>
        <v>63.94646743035795</v>
      </c>
      <c r="F34" s="76">
        <f>(266*((2393-210-95)/2393))*0.1+F41</f>
        <v>63.94646743035795</v>
      </c>
      <c r="G34" s="76">
        <f>(266*((2393-210)/2393))*0.1+G41</f>
        <v>67.27442175923163</v>
      </c>
      <c r="H34" s="76">
        <f>(266*((2393-210)/2393))*0.1+H41</f>
        <v>67.27442175923163</v>
      </c>
      <c r="I34" s="76">
        <f>(266*((2393-210)/2393))*0.1+I41</f>
        <v>67.27442175923163</v>
      </c>
      <c r="J34" s="76">
        <f>(266*((2393-210)/2393))*0.1+J41</f>
        <v>67.27442175923163</v>
      </c>
    </row>
    <row r="35" spans="1:10" ht="12.75" customHeight="1">
      <c r="A35" s="61">
        <v>3</v>
      </c>
      <c r="B35" s="402" t="s">
        <v>48</v>
      </c>
      <c r="C35" s="76">
        <f>'Delhi SummerApr-Sep'!C32*0.4358</f>
        <v>92.21528000000002</v>
      </c>
      <c r="D35" s="76">
        <f>'Delhi SummerApr-Sep'!D32*0.4358</f>
        <v>92.21528000000002</v>
      </c>
      <c r="E35" s="76">
        <f>'Delhi SummerApr-Sep'!E32*0.4358</f>
        <v>92.21528000000002</v>
      </c>
      <c r="F35" s="76">
        <f>'Delhi SummerApr-Sep'!F32*0.4358</f>
        <v>92.21528000000002</v>
      </c>
      <c r="G35" s="76">
        <f>'Delhi SummerApr-Sep'!G32*0.4358</f>
        <v>92.21528000000002</v>
      </c>
      <c r="H35" s="76">
        <f>'Delhi SummerApr-Sep'!H32*0.4358</f>
        <v>92.21528000000002</v>
      </c>
      <c r="I35" s="200">
        <f>'Delhi SummerApr-Sep'!I32*0.4358</f>
        <v>92.21528000000002</v>
      </c>
      <c r="J35" s="76">
        <f>'Delhi SummerApr-Sep'!J32*0.4358</f>
        <v>92.21528000000002</v>
      </c>
    </row>
    <row r="36" spans="1:10" s="62" customFormat="1" ht="12.75" customHeight="1" thickBot="1">
      <c r="A36" s="34">
        <v>4</v>
      </c>
      <c r="B36" s="136" t="s">
        <v>49</v>
      </c>
      <c r="C36" s="407">
        <f aca="true" t="shared" si="8" ref="C36:J36">SUM(C33:C35)</f>
        <v>1039.7811118307518</v>
      </c>
      <c r="D36" s="407">
        <f t="shared" si="8"/>
        <v>1150.9101118307517</v>
      </c>
      <c r="E36" s="407">
        <f t="shared" si="8"/>
        <v>1039.7811118307518</v>
      </c>
      <c r="F36" s="407">
        <f t="shared" si="8"/>
        <v>1184.0309118307516</v>
      </c>
      <c r="G36" s="407">
        <f t="shared" si="8"/>
        <v>1064.9919277642462</v>
      </c>
      <c r="H36" s="407">
        <f t="shared" si="8"/>
        <v>1176.1209277642463</v>
      </c>
      <c r="I36" s="421">
        <f t="shared" si="8"/>
        <v>1064.9919277642462</v>
      </c>
      <c r="J36" s="407">
        <f t="shared" si="8"/>
        <v>1176.1209277642463</v>
      </c>
    </row>
    <row r="37" spans="1:10" ht="12.75" customHeight="1" thickBot="1">
      <c r="A37" s="81">
        <v>5</v>
      </c>
      <c r="B37" s="125" t="s">
        <v>96</v>
      </c>
      <c r="C37" s="109">
        <f aca="true" t="shared" si="9" ref="C37:J37">+C36-C31</f>
        <v>-239.34402063411335</v>
      </c>
      <c r="D37" s="208">
        <f t="shared" si="9"/>
        <v>-221.85988816924828</v>
      </c>
      <c r="E37" s="210">
        <f t="shared" si="9"/>
        <v>-389.6428881692482</v>
      </c>
      <c r="F37" s="210">
        <f t="shared" si="9"/>
        <v>-384.8490881692485</v>
      </c>
      <c r="G37" s="109">
        <f t="shared" si="9"/>
        <v>-39.761072235754</v>
      </c>
      <c r="H37" s="208">
        <f t="shared" si="9"/>
        <v>-22.329072235753756</v>
      </c>
      <c r="I37" s="210">
        <f t="shared" si="9"/>
        <v>-255.482072235754</v>
      </c>
      <c r="J37" s="109">
        <f t="shared" si="9"/>
        <v>-196.6490722357537</v>
      </c>
    </row>
    <row r="38" spans="1:10" ht="16.5" customHeight="1" thickBot="1">
      <c r="A38" s="458" t="s">
        <v>57</v>
      </c>
      <c r="B38" s="461"/>
      <c r="C38" s="416"/>
      <c r="D38" s="417"/>
      <c r="E38" s="418"/>
      <c r="F38" s="419"/>
      <c r="G38" s="416"/>
      <c r="H38" s="417"/>
      <c r="I38" s="418"/>
      <c r="J38" s="406"/>
    </row>
    <row r="39" spans="1:10" s="62" customFormat="1" ht="12.75" customHeight="1">
      <c r="A39" s="172" t="s">
        <v>97</v>
      </c>
      <c r="B39" s="173" t="s">
        <v>58</v>
      </c>
      <c r="C39" s="424">
        <v>100</v>
      </c>
      <c r="D39" s="423">
        <v>220</v>
      </c>
      <c r="E39" s="424">
        <v>150</v>
      </c>
      <c r="F39" s="423">
        <v>220</v>
      </c>
      <c r="G39" s="424">
        <v>100</v>
      </c>
      <c r="H39" s="423">
        <v>220</v>
      </c>
      <c r="I39" s="424">
        <v>150</v>
      </c>
      <c r="J39" s="423">
        <v>220</v>
      </c>
    </row>
    <row r="40" spans="1:10" ht="12.75" customHeight="1">
      <c r="A40" s="61">
        <v>1</v>
      </c>
      <c r="B40" s="122" t="s">
        <v>88</v>
      </c>
      <c r="C40" s="76">
        <f>+(((113*((705-95)/705)+(107*((840-210)/840))+(95*((330-0)/330)))))</f>
        <v>273.0230496453901</v>
      </c>
      <c r="D40" s="76">
        <f>+(((113*((705-95)/705)+(107*((840-210)/840))+(95*((330-0)/330)))))</f>
        <v>273.0230496453901</v>
      </c>
      <c r="E40" s="76">
        <f>+(((113*((705-95)/705)+(107*((840-210)/840))+(95*((330-0)/330)))))</f>
        <v>273.0230496453901</v>
      </c>
      <c r="F40" s="76">
        <f>+(((113*((705-95)/705)+(107*((840-210)/840))+(95*((330-0)/330)))))</f>
        <v>273.0230496453901</v>
      </c>
      <c r="G40" s="76">
        <f>+(((113*((705-0)/705)+(107*((840-210)/840))+(95*((330-0)/330)))))</f>
        <v>288.25</v>
      </c>
      <c r="H40" s="76">
        <f>+(((113*((705-0)/705)+(107*((840-210)/840))+(95*((330-0)/330)))))</f>
        <v>288.25</v>
      </c>
      <c r="I40" s="76">
        <f>+(((113*((705-0)/705)+(107*((840-210)/840))+(95*((330-0)/330)))))</f>
        <v>288.25</v>
      </c>
      <c r="J40" s="76">
        <f>+(((113*((705-0)/705)+(107*((840-210)/840))+(95*((330-0)/330)))))</f>
        <v>288.25</v>
      </c>
    </row>
    <row r="41" spans="1:10" ht="12.75" customHeight="1">
      <c r="A41" s="80">
        <v>2</v>
      </c>
      <c r="B41" s="126" t="s">
        <v>98</v>
      </c>
      <c r="C41" s="76">
        <f>47*C40/315</f>
        <v>40.73677248677249</v>
      </c>
      <c r="D41" s="83">
        <f aca="true" t="shared" si="10" ref="D41:J41">47*D40/315</f>
        <v>40.73677248677249</v>
      </c>
      <c r="E41" s="76">
        <f t="shared" si="10"/>
        <v>40.73677248677249</v>
      </c>
      <c r="F41" s="83">
        <f t="shared" si="10"/>
        <v>40.73677248677249</v>
      </c>
      <c r="G41" s="76">
        <f t="shared" si="10"/>
        <v>43.00873015873016</v>
      </c>
      <c r="H41" s="83">
        <f t="shared" si="10"/>
        <v>43.00873015873016</v>
      </c>
      <c r="I41" s="76">
        <f t="shared" si="10"/>
        <v>43.00873015873016</v>
      </c>
      <c r="J41" s="83">
        <f t="shared" si="10"/>
        <v>43.00873015873016</v>
      </c>
    </row>
    <row r="42" spans="1:10" s="62" customFormat="1" ht="12.75" customHeight="1" thickBot="1">
      <c r="A42" s="34">
        <v>3</v>
      </c>
      <c r="B42" s="136" t="s">
        <v>99</v>
      </c>
      <c r="C42" s="168">
        <f aca="true" t="shared" si="11" ref="C42:J42">+C40-C41</f>
        <v>232.2862771586176</v>
      </c>
      <c r="D42" s="169">
        <f t="shared" si="11"/>
        <v>232.2862771586176</v>
      </c>
      <c r="E42" s="168">
        <f t="shared" si="11"/>
        <v>232.2862771586176</v>
      </c>
      <c r="F42" s="169">
        <f t="shared" si="11"/>
        <v>232.2862771586176</v>
      </c>
      <c r="G42" s="168">
        <f t="shared" si="11"/>
        <v>245.24126984126985</v>
      </c>
      <c r="H42" s="169">
        <f t="shared" si="11"/>
        <v>245.24126984126985</v>
      </c>
      <c r="I42" s="168">
        <f t="shared" si="11"/>
        <v>245.24126984126985</v>
      </c>
      <c r="J42" s="169">
        <f t="shared" si="11"/>
        <v>245.24126984126985</v>
      </c>
    </row>
    <row r="43" spans="1:10" ht="12.75" customHeight="1" thickBot="1">
      <c r="A43" s="81"/>
      <c r="B43" s="125" t="s">
        <v>59</v>
      </c>
      <c r="C43" s="71">
        <f aca="true" t="shared" si="12" ref="C43:J43">+C42-C39</f>
        <v>132.2862771586176</v>
      </c>
      <c r="D43" s="79">
        <f t="shared" si="12"/>
        <v>12.286277158617594</v>
      </c>
      <c r="E43" s="71">
        <f t="shared" si="12"/>
        <v>82.2862771586176</v>
      </c>
      <c r="F43" s="79">
        <f t="shared" si="12"/>
        <v>12.286277158617594</v>
      </c>
      <c r="G43" s="71">
        <f t="shared" si="12"/>
        <v>145.24126984126985</v>
      </c>
      <c r="H43" s="79">
        <f t="shared" si="12"/>
        <v>25.241269841269855</v>
      </c>
      <c r="I43" s="71">
        <f t="shared" si="12"/>
        <v>95.24126984126985</v>
      </c>
      <c r="J43" s="79">
        <f t="shared" si="12"/>
        <v>25.241269841269855</v>
      </c>
    </row>
    <row r="44" spans="1:10" ht="15.75" customHeight="1" thickBot="1">
      <c r="A44" s="458" t="s">
        <v>60</v>
      </c>
      <c r="B44" s="461"/>
      <c r="C44" s="416"/>
      <c r="D44" s="417"/>
      <c r="E44" s="418"/>
      <c r="F44" s="419"/>
      <c r="G44" s="416"/>
      <c r="H44" s="417"/>
      <c r="I44" s="418"/>
      <c r="J44" s="406"/>
    </row>
    <row r="45" spans="1:10" s="62" customFormat="1" ht="12.75" customHeight="1">
      <c r="A45" s="172" t="s">
        <v>100</v>
      </c>
      <c r="B45" s="173" t="s">
        <v>61</v>
      </c>
      <c r="C45" s="424">
        <v>15</v>
      </c>
      <c r="D45" s="423">
        <v>30</v>
      </c>
      <c r="E45" s="424">
        <v>20</v>
      </c>
      <c r="F45" s="423">
        <v>30</v>
      </c>
      <c r="G45" s="424">
        <v>15</v>
      </c>
      <c r="H45" s="423">
        <v>30</v>
      </c>
      <c r="I45" s="424">
        <v>20</v>
      </c>
      <c r="J45" s="423">
        <v>30</v>
      </c>
    </row>
    <row r="46" spans="1:18" s="62" customFormat="1" ht="12.75" customHeight="1" thickBot="1">
      <c r="A46" s="34">
        <v>1</v>
      </c>
      <c r="B46" s="136" t="s">
        <v>62</v>
      </c>
      <c r="C46" s="168">
        <f>+(45*((705-0)/705))</f>
        <v>45</v>
      </c>
      <c r="D46" s="169">
        <f aca="true" t="shared" si="13" ref="D46:J46">+(45*((705-0)/705))</f>
        <v>45</v>
      </c>
      <c r="E46" s="168">
        <f t="shared" si="13"/>
        <v>45</v>
      </c>
      <c r="F46" s="169">
        <f t="shared" si="13"/>
        <v>45</v>
      </c>
      <c r="G46" s="168">
        <f t="shared" si="13"/>
        <v>45</v>
      </c>
      <c r="H46" s="169">
        <f t="shared" si="13"/>
        <v>45</v>
      </c>
      <c r="I46" s="168">
        <f t="shared" si="13"/>
        <v>45</v>
      </c>
      <c r="J46" s="169">
        <f t="shared" si="13"/>
        <v>45</v>
      </c>
      <c r="R46" s="84"/>
    </row>
    <row r="47" spans="1:10" ht="12.75" customHeight="1" thickBot="1">
      <c r="A47" s="81">
        <v>2</v>
      </c>
      <c r="B47" s="125" t="s">
        <v>63</v>
      </c>
      <c r="C47" s="71">
        <f aca="true" t="shared" si="14" ref="C47:J47">+C46-C45</f>
        <v>30</v>
      </c>
      <c r="D47" s="79">
        <f t="shared" si="14"/>
        <v>15</v>
      </c>
      <c r="E47" s="71">
        <f t="shared" si="14"/>
        <v>25</v>
      </c>
      <c r="F47" s="79">
        <f t="shared" si="14"/>
        <v>15</v>
      </c>
      <c r="G47" s="71">
        <f t="shared" si="14"/>
        <v>30</v>
      </c>
      <c r="H47" s="79">
        <f t="shared" si="14"/>
        <v>15</v>
      </c>
      <c r="I47" s="71">
        <f t="shared" si="14"/>
        <v>25</v>
      </c>
      <c r="J47" s="79">
        <f t="shared" si="14"/>
        <v>15</v>
      </c>
    </row>
    <row r="48" spans="1:18" s="111" customFormat="1" ht="23.25" customHeight="1" thickBot="1">
      <c r="A48" s="176"/>
      <c r="B48" s="177" t="s">
        <v>213</v>
      </c>
      <c r="C48" s="225">
        <f aca="true" t="shared" si="15" ref="C48:J48">+C47+C43+C37+C29+C21</f>
        <v>-260.59394474728094</v>
      </c>
      <c r="D48" s="226">
        <f t="shared" si="15"/>
        <v>-355.4743199999997</v>
      </c>
      <c r="E48" s="225">
        <f t="shared" si="15"/>
        <v>-660.4743199999996</v>
      </c>
      <c r="F48" s="226">
        <f t="shared" si="15"/>
        <v>-729.4743199999998</v>
      </c>
      <c r="G48" s="152">
        <f t="shared" si="15"/>
        <v>215.5256799999995</v>
      </c>
      <c r="H48" s="150">
        <f t="shared" si="15"/>
        <v>120.52567999999974</v>
      </c>
      <c r="I48" s="225">
        <f t="shared" si="15"/>
        <v>-334.4743200000005</v>
      </c>
      <c r="J48" s="226">
        <f t="shared" si="15"/>
        <v>-279.47432000000015</v>
      </c>
      <c r="R48" s="181"/>
    </row>
    <row r="49" spans="1:18" ht="12.75">
      <c r="A49" s="17"/>
      <c r="B49" s="17" t="s">
        <v>101</v>
      </c>
      <c r="D49" s="12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7">
        <v>1</v>
      </c>
      <c r="B50" s="128" t="s">
        <v>159</v>
      </c>
      <c r="D50" s="12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18" t="s">
        <v>160</v>
      </c>
      <c r="B51" s="129" t="s">
        <v>161</v>
      </c>
      <c r="D51" s="12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18" t="s">
        <v>162</v>
      </c>
      <c r="B52" s="129" t="s">
        <v>163</v>
      </c>
      <c r="D52" s="12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4.25">
      <c r="A53" s="1">
        <v>4</v>
      </c>
      <c r="B53" s="129" t="s">
        <v>212</v>
      </c>
      <c r="D53" s="1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2" ht="12.75">
      <c r="A54" s="105">
        <v>5</v>
      </c>
      <c r="B54" s="60" t="s">
        <v>208</v>
      </c>
    </row>
    <row r="55" spans="1:2" ht="12.75">
      <c r="A55" s="105">
        <v>6</v>
      </c>
      <c r="B55" s="37" t="s">
        <v>210</v>
      </c>
    </row>
    <row r="56" spans="1:2" ht="12.75">
      <c r="A56" s="105">
        <v>7</v>
      </c>
      <c r="B56" s="37" t="s">
        <v>209</v>
      </c>
    </row>
  </sheetData>
  <mergeCells count="8">
    <mergeCell ref="A30:B30"/>
    <mergeCell ref="A38:B38"/>
    <mergeCell ref="A44:B44"/>
    <mergeCell ref="C8:J8"/>
    <mergeCell ref="C9:F9"/>
    <mergeCell ref="G9:J9"/>
    <mergeCell ref="A22:B22"/>
    <mergeCell ref="A14:B14"/>
  </mergeCells>
  <printOptions horizontalCentered="1" verticalCentered="1"/>
  <pageMargins left="0.5" right="0.25" top="0" bottom="0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58"/>
  <sheetViews>
    <sheetView workbookViewId="0" topLeftCell="A2">
      <selection activeCell="B4" sqref="B4:G53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2.28125" style="0" customWidth="1"/>
    <col min="7" max="7" width="11.7109375" style="0" customWidth="1"/>
  </cols>
  <sheetData>
    <row r="3" spans="2:7" ht="15.75">
      <c r="B3" s="431"/>
      <c r="C3" s="431"/>
      <c r="D3" s="431"/>
      <c r="E3" s="431"/>
      <c r="F3" s="431"/>
      <c r="G3" s="431"/>
    </row>
    <row r="4" spans="2:9" ht="63">
      <c r="B4" s="431" t="s">
        <v>215</v>
      </c>
      <c r="C4" s="431" t="s">
        <v>216</v>
      </c>
      <c r="D4" s="431" t="s">
        <v>217</v>
      </c>
      <c r="E4" s="431" t="s">
        <v>218</v>
      </c>
      <c r="F4" s="431" t="s">
        <v>219</v>
      </c>
      <c r="G4" s="431" t="s">
        <v>220</v>
      </c>
      <c r="I4" s="432"/>
    </row>
    <row r="5" spans="2:9" ht="12.75">
      <c r="B5" s="435" t="s">
        <v>228</v>
      </c>
      <c r="C5" s="436"/>
      <c r="D5" s="436"/>
      <c r="E5" s="436"/>
      <c r="F5" s="436"/>
      <c r="G5" s="436"/>
      <c r="I5" s="432"/>
    </row>
    <row r="6" spans="2:9" ht="12.75">
      <c r="B6" s="434" t="s">
        <v>221</v>
      </c>
      <c r="C6" s="237">
        <f>1219+67</f>
        <v>1286</v>
      </c>
      <c r="D6" s="237">
        <v>1571</v>
      </c>
      <c r="E6" s="237">
        <f>+D6-C6</f>
        <v>285</v>
      </c>
      <c r="F6" s="237">
        <f>92+92+22+92</f>
        <v>298</v>
      </c>
      <c r="G6" s="237" t="s">
        <v>226</v>
      </c>
      <c r="I6" s="432"/>
    </row>
    <row r="7" spans="2:9" ht="12.75">
      <c r="B7" s="434" t="s">
        <v>222</v>
      </c>
      <c r="C7" s="237">
        <f>762+133</f>
        <v>895</v>
      </c>
      <c r="D7" s="237">
        <v>982</v>
      </c>
      <c r="E7" s="237">
        <f>+D7-C7</f>
        <v>87</v>
      </c>
      <c r="F7" s="237">
        <v>58</v>
      </c>
      <c r="G7" s="237">
        <v>29</v>
      </c>
      <c r="I7" s="432"/>
    </row>
    <row r="8" spans="2:9" ht="12.75">
      <c r="B8" s="434" t="s">
        <v>223</v>
      </c>
      <c r="C8" s="237">
        <f>816+85</f>
        <v>901</v>
      </c>
      <c r="D8" s="237">
        <v>1052</v>
      </c>
      <c r="E8" s="237">
        <f>+D8-C8</f>
        <v>151</v>
      </c>
      <c r="F8" s="237">
        <f>62+16+38+96+55</f>
        <v>267</v>
      </c>
      <c r="G8" s="237" t="s">
        <v>226</v>
      </c>
      <c r="I8" s="432"/>
    </row>
    <row r="9" spans="2:9" ht="12.75">
      <c r="B9" s="434" t="s">
        <v>224</v>
      </c>
      <c r="C9" s="237">
        <v>245</v>
      </c>
      <c r="D9" s="237">
        <v>260</v>
      </c>
      <c r="E9" s="237">
        <f>+D9-C9</f>
        <v>15</v>
      </c>
      <c r="F9" s="237" t="s">
        <v>226</v>
      </c>
      <c r="G9" s="237">
        <v>15</v>
      </c>
      <c r="I9" s="432"/>
    </row>
    <row r="10" spans="2:9" ht="12.75">
      <c r="B10" s="434" t="s">
        <v>225</v>
      </c>
      <c r="C10" s="237">
        <v>35</v>
      </c>
      <c r="D10" s="237">
        <v>45</v>
      </c>
      <c r="E10" s="237">
        <f>+D10-C10</f>
        <v>10</v>
      </c>
      <c r="F10" s="237" t="s">
        <v>226</v>
      </c>
      <c r="G10" s="237">
        <v>10</v>
      </c>
      <c r="I10" s="432"/>
    </row>
    <row r="11" spans="2:9" ht="12.75">
      <c r="B11" s="62" t="s">
        <v>227</v>
      </c>
      <c r="C11" s="433">
        <f>SUM(C6:C10)</f>
        <v>3362</v>
      </c>
      <c r="D11" s="433">
        <v>3900</v>
      </c>
      <c r="E11" s="433">
        <f>SUM(E6:E10)</f>
        <v>548</v>
      </c>
      <c r="F11" s="433">
        <f>SUM(F6:F10)</f>
        <v>623</v>
      </c>
      <c r="G11" s="433" t="s">
        <v>226</v>
      </c>
      <c r="I11" s="432"/>
    </row>
    <row r="12" spans="2:9" ht="12.75">
      <c r="B12" s="435" t="s">
        <v>229</v>
      </c>
      <c r="C12" s="436"/>
      <c r="D12" s="436"/>
      <c r="E12" s="436"/>
      <c r="F12" s="436"/>
      <c r="G12" s="436"/>
      <c r="I12" s="432"/>
    </row>
    <row r="13" spans="2:9" ht="12.75">
      <c r="B13" s="434" t="s">
        <v>221</v>
      </c>
      <c r="C13" s="237">
        <f>1146+65</f>
        <v>1211</v>
      </c>
      <c r="D13" s="237">
        <v>1536</v>
      </c>
      <c r="E13" s="237">
        <f>+D13-C13</f>
        <v>325</v>
      </c>
      <c r="F13" s="237">
        <f>92+22+92</f>
        <v>206</v>
      </c>
      <c r="G13" s="237">
        <f>+E13-F13</f>
        <v>119</v>
      </c>
      <c r="I13" s="432"/>
    </row>
    <row r="14" spans="2:7" ht="12.75">
      <c r="B14" s="434" t="s">
        <v>222</v>
      </c>
      <c r="C14" s="237">
        <f>716+137</f>
        <v>853</v>
      </c>
      <c r="D14" s="237">
        <v>960</v>
      </c>
      <c r="E14" s="237">
        <f>+D14-C14</f>
        <v>107</v>
      </c>
      <c r="F14" s="237">
        <f>58+96</f>
        <v>154</v>
      </c>
      <c r="G14" s="237" t="s">
        <v>226</v>
      </c>
    </row>
    <row r="15" spans="2:7" ht="12.75">
      <c r="B15" s="434" t="s">
        <v>223</v>
      </c>
      <c r="C15" s="237">
        <f>767+87</f>
        <v>854</v>
      </c>
      <c r="D15" s="237">
        <v>1029</v>
      </c>
      <c r="E15" s="237">
        <f>+D15-C15</f>
        <v>175</v>
      </c>
      <c r="F15" s="237">
        <f>62+16+38+66</f>
        <v>182</v>
      </c>
      <c r="G15" s="237" t="s">
        <v>226</v>
      </c>
    </row>
    <row r="16" spans="2:7" ht="12.75">
      <c r="B16" s="434" t="s">
        <v>224</v>
      </c>
      <c r="C16" s="237">
        <v>230</v>
      </c>
      <c r="D16" s="237">
        <v>271</v>
      </c>
      <c r="E16" s="237">
        <f>+D16-C16</f>
        <v>41</v>
      </c>
      <c r="F16" s="237" t="s">
        <v>230</v>
      </c>
      <c r="G16" s="237">
        <v>41</v>
      </c>
    </row>
    <row r="17" spans="2:7" ht="12.75">
      <c r="B17" s="434" t="s">
        <v>225</v>
      </c>
      <c r="C17" s="237">
        <v>45</v>
      </c>
      <c r="D17" s="237">
        <v>35</v>
      </c>
      <c r="E17" s="237">
        <f>+D17-C17</f>
        <v>-10</v>
      </c>
      <c r="F17" s="237" t="s">
        <v>230</v>
      </c>
      <c r="G17" s="237" t="s">
        <v>230</v>
      </c>
    </row>
    <row r="18" spans="2:7" ht="12.75">
      <c r="B18" s="62" t="s">
        <v>227</v>
      </c>
      <c r="C18" s="433">
        <f>SUM(C13:C17)</f>
        <v>3193</v>
      </c>
      <c r="D18" s="433">
        <v>3850</v>
      </c>
      <c r="E18" s="433">
        <f>SUM(E13:E17)</f>
        <v>638</v>
      </c>
      <c r="F18" s="433">
        <f>SUM(F13:F17)</f>
        <v>542</v>
      </c>
      <c r="G18" s="433">
        <v>114</v>
      </c>
    </row>
    <row r="19" spans="2:7" ht="12.75">
      <c r="B19" s="435" t="s">
        <v>231</v>
      </c>
      <c r="C19" s="436"/>
      <c r="D19" s="436"/>
      <c r="E19" s="436"/>
      <c r="F19" s="436"/>
      <c r="G19" s="436"/>
    </row>
    <row r="20" spans="2:7" ht="12.75">
      <c r="B20" s="434" t="s">
        <v>221</v>
      </c>
      <c r="C20" s="237">
        <f>1178+74</f>
        <v>1252</v>
      </c>
      <c r="D20" s="237">
        <v>1754</v>
      </c>
      <c r="E20" s="237">
        <f>+D20-C20</f>
        <v>502</v>
      </c>
      <c r="F20" s="237">
        <f>92+58+92+22</f>
        <v>264</v>
      </c>
      <c r="G20" s="237">
        <f>+E20-F20</f>
        <v>238</v>
      </c>
    </row>
    <row r="21" spans="2:7" ht="12.75">
      <c r="B21" s="434" t="s">
        <v>222</v>
      </c>
      <c r="C21" s="237">
        <f>736+146</f>
        <v>882</v>
      </c>
      <c r="D21" s="237">
        <v>1096</v>
      </c>
      <c r="E21" s="237">
        <f>+D21-C21</f>
        <v>214</v>
      </c>
      <c r="F21" s="237">
        <f>58+96</f>
        <v>154</v>
      </c>
      <c r="G21" s="237">
        <f>+E21-F21</f>
        <v>60</v>
      </c>
    </row>
    <row r="22" spans="2:7" ht="12.75">
      <c r="B22" s="434" t="s">
        <v>223</v>
      </c>
      <c r="C22" s="237">
        <f>789+93</f>
        <v>882</v>
      </c>
      <c r="D22" s="237">
        <v>1174</v>
      </c>
      <c r="E22" s="237">
        <f>+D22-C22</f>
        <v>292</v>
      </c>
      <c r="F22" s="237">
        <f>62+16+96</f>
        <v>174</v>
      </c>
      <c r="G22" s="237">
        <f>+E22-F22</f>
        <v>118</v>
      </c>
    </row>
    <row r="23" spans="2:7" ht="12.75">
      <c r="B23" s="434" t="s">
        <v>224</v>
      </c>
      <c r="C23" s="237">
        <v>268</v>
      </c>
      <c r="D23" s="237">
        <v>290</v>
      </c>
      <c r="E23" s="237">
        <f>+D23-C23</f>
        <v>22</v>
      </c>
      <c r="F23" s="237">
        <v>0</v>
      </c>
      <c r="G23" s="237">
        <f>+E23-F23</f>
        <v>22</v>
      </c>
    </row>
    <row r="24" spans="2:7" ht="12.75">
      <c r="B24" s="434" t="s">
        <v>225</v>
      </c>
      <c r="C24" s="237">
        <v>45</v>
      </c>
      <c r="D24" s="237">
        <v>35</v>
      </c>
      <c r="E24" s="237" t="s">
        <v>226</v>
      </c>
      <c r="F24" s="237">
        <v>0</v>
      </c>
      <c r="G24" s="237" t="s">
        <v>226</v>
      </c>
    </row>
    <row r="25" spans="2:7" ht="12.75">
      <c r="B25" s="62" t="s">
        <v>227</v>
      </c>
      <c r="C25" s="433">
        <f>SUM(C20:C24)</f>
        <v>3329</v>
      </c>
      <c r="D25" s="433">
        <v>4350</v>
      </c>
      <c r="E25" s="433">
        <f>SUM(E20:E24)</f>
        <v>1030</v>
      </c>
      <c r="F25" s="433">
        <f>SUM(F20:F24)</f>
        <v>592</v>
      </c>
      <c r="G25" s="433">
        <f>+E25-F25</f>
        <v>438</v>
      </c>
    </row>
    <row r="26" spans="2:7" ht="12.75">
      <c r="B26" s="435" t="s">
        <v>232</v>
      </c>
      <c r="C26" s="437"/>
      <c r="D26" s="437"/>
      <c r="E26" s="437"/>
      <c r="F26" s="437"/>
      <c r="G26" s="437"/>
    </row>
    <row r="27" spans="2:7" ht="12.75">
      <c r="B27" s="434" t="s">
        <v>221</v>
      </c>
      <c r="C27" s="237">
        <f>1197+74</f>
        <v>1271</v>
      </c>
      <c r="D27" s="237">
        <v>1819</v>
      </c>
      <c r="E27" s="237">
        <f>+D27-C27</f>
        <v>548</v>
      </c>
      <c r="F27" s="237">
        <f>92+62+28+92+80+92+92</f>
        <v>538</v>
      </c>
      <c r="G27" s="237">
        <v>10</v>
      </c>
    </row>
    <row r="28" spans="2:7" ht="12.75">
      <c r="B28" s="434" t="s">
        <v>222</v>
      </c>
      <c r="C28" s="237">
        <f>748+146</f>
        <v>894</v>
      </c>
      <c r="D28" s="237">
        <v>1137</v>
      </c>
      <c r="E28" s="237">
        <f>+D28-C28</f>
        <v>243</v>
      </c>
      <c r="F28" s="237">
        <f>58+77+92+92</f>
        <v>319</v>
      </c>
      <c r="G28" s="237" t="s">
        <v>226</v>
      </c>
    </row>
    <row r="29" spans="2:7" ht="12.75">
      <c r="B29" s="434" t="s">
        <v>223</v>
      </c>
      <c r="C29" s="237">
        <f>801+93</f>
        <v>894</v>
      </c>
      <c r="D29" s="237">
        <v>1218</v>
      </c>
      <c r="E29" s="237">
        <f>+D29-C29</f>
        <v>324</v>
      </c>
      <c r="F29" s="237">
        <f>62+18+96</f>
        <v>176</v>
      </c>
      <c r="G29" s="237">
        <f>+E29-F29</f>
        <v>148</v>
      </c>
    </row>
    <row r="30" spans="2:7" ht="12.75">
      <c r="B30" s="434" t="s">
        <v>224</v>
      </c>
      <c r="C30" s="237">
        <v>268</v>
      </c>
      <c r="D30" s="237">
        <v>290</v>
      </c>
      <c r="E30" s="237">
        <f>+D30-C30</f>
        <v>22</v>
      </c>
      <c r="F30" s="237">
        <v>0</v>
      </c>
      <c r="G30" s="237">
        <v>22</v>
      </c>
    </row>
    <row r="31" spans="2:7" ht="12.75">
      <c r="B31" s="434" t="s">
        <v>225</v>
      </c>
      <c r="C31" s="237">
        <v>45</v>
      </c>
      <c r="D31" s="237">
        <v>35</v>
      </c>
      <c r="E31" s="237">
        <f>+D31-C31</f>
        <v>-10</v>
      </c>
      <c r="F31" s="237">
        <v>0</v>
      </c>
      <c r="G31" s="237">
        <v>0</v>
      </c>
    </row>
    <row r="32" spans="2:7" ht="12.75">
      <c r="B32" s="62" t="s">
        <v>227</v>
      </c>
      <c r="C32" s="433">
        <f>SUM(C27:C31)</f>
        <v>3372</v>
      </c>
      <c r="D32" s="433">
        <v>4500</v>
      </c>
      <c r="E32" s="433">
        <f>SUM(E27:E31)</f>
        <v>1127</v>
      </c>
      <c r="F32" s="433">
        <f>SUM(F27:F31)</f>
        <v>1033</v>
      </c>
      <c r="G32" s="433">
        <f>+E32-F32</f>
        <v>94</v>
      </c>
    </row>
    <row r="33" spans="2:7" ht="12.75">
      <c r="B33" s="435" t="s">
        <v>233</v>
      </c>
      <c r="C33" s="437"/>
      <c r="D33" s="437"/>
      <c r="E33" s="437"/>
      <c r="F33" s="437"/>
      <c r="G33" s="437"/>
    </row>
    <row r="34" spans="2:7" ht="12.75">
      <c r="B34" s="434" t="s">
        <v>221</v>
      </c>
      <c r="C34" s="237">
        <f>1146+70</f>
        <v>1216</v>
      </c>
      <c r="D34" s="237">
        <v>1776</v>
      </c>
      <c r="E34" s="237">
        <f>+D34-C34</f>
        <v>560</v>
      </c>
      <c r="F34" s="237">
        <f>92+58+28+92+55+92+92</f>
        <v>509</v>
      </c>
      <c r="G34" s="237">
        <f>+E34-F34</f>
        <v>51</v>
      </c>
    </row>
    <row r="35" spans="2:7" ht="12.75">
      <c r="B35" s="434" t="s">
        <v>222</v>
      </c>
      <c r="C35" s="237">
        <f>716+140</f>
        <v>856</v>
      </c>
      <c r="D35" s="237">
        <v>1110</v>
      </c>
      <c r="E35" s="237">
        <f>+D35-C35</f>
        <v>254</v>
      </c>
      <c r="F35" s="237">
        <f>58+58+92+92</f>
        <v>300</v>
      </c>
      <c r="G35" s="237">
        <v>0</v>
      </c>
    </row>
    <row r="36" spans="2:7" ht="12.75">
      <c r="B36" s="434" t="s">
        <v>223</v>
      </c>
      <c r="C36" s="237">
        <f>767+89</f>
        <v>856</v>
      </c>
      <c r="D36" s="237">
        <v>1189</v>
      </c>
      <c r="E36" s="237">
        <f>+D36-C36</f>
        <v>333</v>
      </c>
      <c r="F36" s="237">
        <f>62+18+96</f>
        <v>176</v>
      </c>
      <c r="G36" s="237">
        <f>+E36-F36</f>
        <v>157</v>
      </c>
    </row>
    <row r="37" spans="2:7" ht="12.75">
      <c r="B37" s="434" t="s">
        <v>224</v>
      </c>
      <c r="C37" s="237">
        <v>255</v>
      </c>
      <c r="D37" s="237">
        <v>240</v>
      </c>
      <c r="E37" s="237">
        <f>+D37-C37</f>
        <v>-15</v>
      </c>
      <c r="F37" s="237">
        <v>0</v>
      </c>
      <c r="G37" s="237">
        <v>0</v>
      </c>
    </row>
    <row r="38" spans="2:7" ht="12.75">
      <c r="B38" s="434" t="s">
        <v>225</v>
      </c>
      <c r="C38" s="237">
        <v>35</v>
      </c>
      <c r="D38" s="237">
        <v>45</v>
      </c>
      <c r="E38" s="237">
        <f>+D38-C38</f>
        <v>10</v>
      </c>
      <c r="F38" s="237">
        <v>0</v>
      </c>
      <c r="G38" s="237">
        <v>10</v>
      </c>
    </row>
    <row r="39" spans="2:7" ht="12.75">
      <c r="B39" s="62" t="s">
        <v>227</v>
      </c>
      <c r="C39" s="433">
        <f>SUM(C34:C38)</f>
        <v>3218</v>
      </c>
      <c r="D39" s="433">
        <v>4350</v>
      </c>
      <c r="E39" s="433">
        <f>SUM(E34:E38)</f>
        <v>1142</v>
      </c>
      <c r="F39" s="433">
        <f>SUM(F34:F38)</f>
        <v>985</v>
      </c>
      <c r="G39" s="433">
        <f>+E39-F39</f>
        <v>157</v>
      </c>
    </row>
    <row r="40" spans="2:7" ht="12.75">
      <c r="B40" s="435" t="s">
        <v>234</v>
      </c>
      <c r="C40" s="437"/>
      <c r="D40" s="437"/>
      <c r="E40" s="437"/>
      <c r="F40" s="437"/>
      <c r="G40" s="437"/>
    </row>
    <row r="41" spans="2:7" ht="12.75">
      <c r="B41" s="434" t="s">
        <v>221</v>
      </c>
      <c r="C41" s="237">
        <f>1146+70</f>
        <v>1216</v>
      </c>
      <c r="D41" s="237">
        <v>1802</v>
      </c>
      <c r="E41" s="237">
        <f>+D41-C41</f>
        <v>586</v>
      </c>
      <c r="F41" s="237">
        <f>92+28+92+48+92+92</f>
        <v>444</v>
      </c>
      <c r="G41" s="237">
        <f>+E41-F41</f>
        <v>142</v>
      </c>
    </row>
    <row r="42" spans="2:7" ht="12.75">
      <c r="B42" s="434" t="s">
        <v>222</v>
      </c>
      <c r="C42" s="237">
        <f>716+140</f>
        <v>856</v>
      </c>
      <c r="D42" s="237">
        <v>1126</v>
      </c>
      <c r="E42" s="237">
        <f>+D42-C42</f>
        <v>270</v>
      </c>
      <c r="F42" s="237">
        <f>58+92+92</f>
        <v>242</v>
      </c>
      <c r="G42" s="237">
        <f>+E42-F42</f>
        <v>28</v>
      </c>
    </row>
    <row r="43" spans="2:7" ht="12.75">
      <c r="B43" s="434" t="s">
        <v>223</v>
      </c>
      <c r="C43" s="237">
        <f>767+89</f>
        <v>856</v>
      </c>
      <c r="D43" s="237">
        <v>1207</v>
      </c>
      <c r="E43" s="237">
        <f>+D43-C43</f>
        <v>351</v>
      </c>
      <c r="F43" s="237">
        <f>62+18+72</f>
        <v>152</v>
      </c>
      <c r="G43" s="237">
        <f>+E43-F43</f>
        <v>199</v>
      </c>
    </row>
    <row r="44" spans="2:7" ht="12.75">
      <c r="B44" s="434" t="s">
        <v>224</v>
      </c>
      <c r="C44" s="237">
        <v>255</v>
      </c>
      <c r="D44" s="237">
        <v>230</v>
      </c>
      <c r="E44" s="237">
        <f>+D44-C44</f>
        <v>-25</v>
      </c>
      <c r="F44" s="237">
        <v>0</v>
      </c>
      <c r="G44" s="237">
        <v>25</v>
      </c>
    </row>
    <row r="45" spans="2:7" ht="12.75">
      <c r="B45" s="434" t="s">
        <v>225</v>
      </c>
      <c r="C45" s="237">
        <v>35</v>
      </c>
      <c r="D45" s="237">
        <v>45</v>
      </c>
      <c r="E45" s="237">
        <f>+D45-C45</f>
        <v>10</v>
      </c>
      <c r="F45" s="237">
        <v>0</v>
      </c>
      <c r="G45" s="237">
        <v>10</v>
      </c>
    </row>
    <row r="46" spans="2:7" ht="12.75">
      <c r="B46" s="62" t="s">
        <v>227</v>
      </c>
      <c r="C46" s="433">
        <f>SUM(C41:C45)</f>
        <v>3218</v>
      </c>
      <c r="D46" s="433">
        <v>4400</v>
      </c>
      <c r="E46" s="433">
        <f>SUM(E41:E45)</f>
        <v>1192</v>
      </c>
      <c r="F46" s="433">
        <f>SUM(F41:F45)</f>
        <v>838</v>
      </c>
      <c r="G46" s="433">
        <f>+E46-F46</f>
        <v>354</v>
      </c>
    </row>
    <row r="47" spans="2:7" ht="12.75">
      <c r="B47" s="435" t="s">
        <v>235</v>
      </c>
      <c r="C47" s="437"/>
      <c r="D47" s="437"/>
      <c r="E47" s="437"/>
      <c r="F47" s="437"/>
      <c r="G47" s="437"/>
    </row>
    <row r="48" spans="2:7" ht="12.75">
      <c r="B48" s="434" t="s">
        <v>221</v>
      </c>
      <c r="C48" s="237">
        <f>1028+64</f>
        <v>1092</v>
      </c>
      <c r="D48" s="237">
        <v>1569</v>
      </c>
      <c r="E48" s="237">
        <f>+D48-C48</f>
        <v>477</v>
      </c>
      <c r="F48" s="237">
        <v>92</v>
      </c>
      <c r="G48" s="237">
        <f>+E48-F48</f>
        <v>385</v>
      </c>
    </row>
    <row r="49" spans="2:7" ht="12.75">
      <c r="B49" s="434" t="s">
        <v>222</v>
      </c>
      <c r="C49" s="237">
        <f>642+128</f>
        <v>770</v>
      </c>
      <c r="D49" s="237">
        <v>981</v>
      </c>
      <c r="E49" s="237">
        <f>+D49-C49</f>
        <v>211</v>
      </c>
      <c r="F49" s="237">
        <v>58</v>
      </c>
      <c r="G49" s="237">
        <f>+E49-F49</f>
        <v>153</v>
      </c>
    </row>
    <row r="50" spans="2:7" ht="12.75">
      <c r="B50" s="434" t="s">
        <v>223</v>
      </c>
      <c r="C50" s="237">
        <f>688+81</f>
        <v>769</v>
      </c>
      <c r="D50" s="237">
        <v>1050</v>
      </c>
      <c r="E50" s="237">
        <f>+D50-C50</f>
        <v>281</v>
      </c>
      <c r="F50" s="237">
        <v>62</v>
      </c>
      <c r="G50" s="237">
        <f>+E50-F50</f>
        <v>219</v>
      </c>
    </row>
    <row r="51" spans="2:7" ht="12.75">
      <c r="B51" s="434" t="s">
        <v>224</v>
      </c>
      <c r="C51" s="237">
        <v>232</v>
      </c>
      <c r="D51" s="237">
        <v>220</v>
      </c>
      <c r="E51" s="237">
        <f>+D51-C51</f>
        <v>-12</v>
      </c>
      <c r="F51" s="237">
        <v>0</v>
      </c>
      <c r="G51" s="237">
        <v>0</v>
      </c>
    </row>
    <row r="52" spans="2:7" ht="12.75">
      <c r="B52" s="434" t="s">
        <v>225</v>
      </c>
      <c r="C52" s="237">
        <v>30</v>
      </c>
      <c r="D52" s="237">
        <v>45</v>
      </c>
      <c r="E52" s="237">
        <f>+D52-C52</f>
        <v>15</v>
      </c>
      <c r="F52" s="237">
        <v>0</v>
      </c>
      <c r="G52" s="237">
        <v>15</v>
      </c>
    </row>
    <row r="53" spans="2:7" ht="12.75">
      <c r="B53" s="62" t="s">
        <v>227</v>
      </c>
      <c r="C53" s="433">
        <f>SUM(C48:C52)</f>
        <v>2893</v>
      </c>
      <c r="D53" s="433">
        <v>3850</v>
      </c>
      <c r="E53" s="433">
        <f>SUM(E48:E52)</f>
        <v>972</v>
      </c>
      <c r="F53" s="433">
        <f>SUM(F48:F52)</f>
        <v>212</v>
      </c>
      <c r="G53" s="433">
        <f>+E53-F53</f>
        <v>760</v>
      </c>
    </row>
    <row r="54" spans="3:7" ht="12.75">
      <c r="C54" s="237"/>
      <c r="D54" s="237"/>
      <c r="E54" s="237"/>
      <c r="F54" s="237"/>
      <c r="G54" s="237"/>
    </row>
    <row r="55" spans="3:7" ht="12.75">
      <c r="C55" s="237"/>
      <c r="D55" s="237"/>
      <c r="E55" s="237"/>
      <c r="F55" s="237"/>
      <c r="G55" s="237"/>
    </row>
    <row r="56" spans="3:7" ht="12.75">
      <c r="C56" s="237"/>
      <c r="D56" s="237"/>
      <c r="E56" s="237"/>
      <c r="F56" s="237"/>
      <c r="G56" s="237"/>
    </row>
    <row r="57" spans="3:7" ht="12.75">
      <c r="C57" s="237"/>
      <c r="D57" s="237"/>
      <c r="E57" s="237"/>
      <c r="F57" s="237"/>
      <c r="G57" s="237"/>
    </row>
    <row r="58" spans="3:7" ht="12.75">
      <c r="C58" s="237"/>
      <c r="D58" s="237"/>
      <c r="E58" s="237"/>
      <c r="F58" s="237"/>
      <c r="G58" s="23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138"/>
  <sheetViews>
    <sheetView workbookViewId="0" topLeftCell="A1">
      <selection activeCell="E46" sqref="E46"/>
    </sheetView>
  </sheetViews>
  <sheetFormatPr defaultColWidth="9.140625" defaultRowHeight="12.75"/>
  <cols>
    <col min="1" max="1" width="7.00390625" style="0" customWidth="1"/>
    <col min="2" max="2" width="5.57421875" style="0" customWidth="1"/>
    <col min="3" max="3" width="59.421875" style="0" customWidth="1"/>
    <col min="4" max="4" width="9.8515625" style="0" customWidth="1"/>
    <col min="5" max="5" width="10.7109375" style="0" customWidth="1"/>
    <col min="6" max="6" width="9.8515625" style="0" customWidth="1"/>
    <col min="7" max="7" width="10.00390625" style="0" customWidth="1"/>
    <col min="8" max="8" width="9.421875" style="0" customWidth="1"/>
    <col min="9" max="9" width="9.8515625" style="0" customWidth="1"/>
    <col min="10" max="10" width="10.00390625" style="0" customWidth="1"/>
    <col min="11" max="11" width="10.140625" style="0" customWidth="1"/>
    <col min="12" max="12" width="6.8515625" style="0" hidden="1" customWidth="1"/>
    <col min="13" max="13" width="6.57421875" style="0" hidden="1" customWidth="1"/>
    <col min="14" max="14" width="6.7109375" style="0" hidden="1" customWidth="1"/>
    <col min="15" max="15" width="7.00390625" style="0" hidden="1" customWidth="1"/>
    <col min="16" max="16" width="7.140625" style="0" hidden="1" customWidth="1"/>
    <col min="17" max="18" width="6.8515625" style="0" hidden="1" customWidth="1"/>
    <col min="19" max="19" width="7.8515625" style="0" hidden="1" customWidth="1"/>
    <col min="20" max="20" width="7.8515625" style="0" customWidth="1"/>
    <col min="21" max="22" width="8.00390625" style="0" customWidth="1"/>
    <col min="23" max="24" width="8.140625" style="0" customWidth="1"/>
    <col min="25" max="26" width="8.7109375" style="0" customWidth="1"/>
    <col min="27" max="27" width="8.140625" style="0" customWidth="1"/>
  </cols>
  <sheetData>
    <row r="1" spans="3:6" ht="18">
      <c r="C1" s="110" t="s">
        <v>184</v>
      </c>
      <c r="F1" s="110"/>
    </row>
    <row r="2" spans="3:4" ht="15">
      <c r="C2" s="111" t="s">
        <v>183</v>
      </c>
      <c r="D2" s="111"/>
    </row>
    <row r="3" ht="6.75" customHeight="1"/>
    <row r="4" spans="3:26" ht="12.75">
      <c r="C4" s="62" t="s">
        <v>182</v>
      </c>
      <c r="D4" s="62"/>
      <c r="Q4" s="112" t="s">
        <v>122</v>
      </c>
      <c r="Z4" s="112"/>
    </row>
    <row r="5" spans="3:26" ht="12.75">
      <c r="C5" s="62"/>
      <c r="D5" s="62"/>
      <c r="Q5" s="112"/>
      <c r="Z5" s="112"/>
    </row>
    <row r="6" spans="3:15" ht="12" customHeight="1" thickBot="1">
      <c r="C6" s="38" t="s">
        <v>191</v>
      </c>
      <c r="I6" s="430" t="s">
        <v>211</v>
      </c>
      <c r="O6" t="s">
        <v>123</v>
      </c>
    </row>
    <row r="7" spans="2:19" ht="13.5" customHeight="1" thickBot="1">
      <c r="B7" s="227" t="s">
        <v>37</v>
      </c>
      <c r="C7" s="228" t="s">
        <v>38</v>
      </c>
      <c r="D7" s="482" t="s">
        <v>185</v>
      </c>
      <c r="E7" s="483"/>
      <c r="F7" s="483"/>
      <c r="G7" s="483"/>
      <c r="H7" s="483"/>
      <c r="I7" s="483"/>
      <c r="J7" s="483"/>
      <c r="K7" s="484"/>
      <c r="L7" s="229"/>
      <c r="M7" s="477" t="s">
        <v>124</v>
      </c>
      <c r="N7" s="477"/>
      <c r="O7" s="478"/>
      <c r="P7" s="478"/>
      <c r="Q7" s="478"/>
      <c r="R7" s="478"/>
      <c r="S7" s="479"/>
    </row>
    <row r="8" spans="2:19" ht="13.5" customHeight="1" thickBot="1">
      <c r="B8" s="230" t="s">
        <v>39</v>
      </c>
      <c r="C8" s="231"/>
      <c r="D8" s="473" t="s">
        <v>178</v>
      </c>
      <c r="E8" s="483"/>
      <c r="F8" s="483"/>
      <c r="G8" s="484"/>
      <c r="H8" s="480" t="s">
        <v>179</v>
      </c>
      <c r="I8" s="471"/>
      <c r="J8" s="471"/>
      <c r="K8" s="472"/>
      <c r="L8" s="232"/>
      <c r="M8" s="480" t="s">
        <v>180</v>
      </c>
      <c r="N8" s="480"/>
      <c r="O8" s="481"/>
      <c r="P8" s="232"/>
      <c r="Q8" s="473" t="s">
        <v>179</v>
      </c>
      <c r="R8" s="480"/>
      <c r="S8" s="481"/>
    </row>
    <row r="9" spans="2:19" s="237" customFormat="1" ht="23.25" thickBot="1">
      <c r="B9" s="233"/>
      <c r="C9" s="42"/>
      <c r="D9" s="234" t="s">
        <v>125</v>
      </c>
      <c r="E9" s="235" t="s">
        <v>126</v>
      </c>
      <c r="F9" s="235" t="s">
        <v>127</v>
      </c>
      <c r="G9" s="236" t="s">
        <v>128</v>
      </c>
      <c r="H9" s="234" t="s">
        <v>125</v>
      </c>
      <c r="I9" s="235" t="s">
        <v>126</v>
      </c>
      <c r="J9" s="235" t="s">
        <v>127</v>
      </c>
      <c r="K9" s="236" t="s">
        <v>128</v>
      </c>
      <c r="L9" s="234" t="s">
        <v>125</v>
      </c>
      <c r="M9" s="235" t="s">
        <v>126</v>
      </c>
      <c r="N9" s="235" t="s">
        <v>127</v>
      </c>
      <c r="O9" s="236" t="s">
        <v>128</v>
      </c>
      <c r="P9" s="234" t="s">
        <v>125</v>
      </c>
      <c r="Q9" s="235" t="s">
        <v>126</v>
      </c>
      <c r="R9" s="235" t="s">
        <v>127</v>
      </c>
      <c r="S9" s="236" t="s">
        <v>128</v>
      </c>
    </row>
    <row r="10" spans="2:19" ht="12.75">
      <c r="B10" s="238">
        <v>1</v>
      </c>
      <c r="C10" s="239" t="s">
        <v>129</v>
      </c>
      <c r="D10" s="465"/>
      <c r="E10" s="241"/>
      <c r="F10" s="468"/>
      <c r="G10" s="243"/>
      <c r="H10" s="465"/>
      <c r="I10" s="241"/>
      <c r="J10" s="468"/>
      <c r="K10" s="243"/>
      <c r="L10" s="465"/>
      <c r="M10" s="241"/>
      <c r="N10" s="468"/>
      <c r="O10" s="243"/>
      <c r="P10" s="465"/>
      <c r="Q10" s="241"/>
      <c r="R10" s="468"/>
      <c r="S10" s="243"/>
    </row>
    <row r="11" spans="2:19" ht="13.5" customHeight="1">
      <c r="B11" s="224" t="s">
        <v>40</v>
      </c>
      <c r="C11" s="361" t="s">
        <v>131</v>
      </c>
      <c r="D11" s="466"/>
      <c r="E11" s="246">
        <v>2432</v>
      </c>
      <c r="F11" s="469"/>
      <c r="G11" s="248">
        <v>2807</v>
      </c>
      <c r="H11" s="466"/>
      <c r="I11" s="246">
        <v>2350</v>
      </c>
      <c r="J11" s="469"/>
      <c r="K11" s="248">
        <v>2701</v>
      </c>
      <c r="L11" s="466"/>
      <c r="M11" s="246">
        <v>2041</v>
      </c>
      <c r="N11" s="469"/>
      <c r="O11" s="248">
        <v>2581</v>
      </c>
      <c r="P11" s="466"/>
      <c r="Q11" s="246">
        <v>2157</v>
      </c>
      <c r="R11" s="469"/>
      <c r="S11" s="248">
        <v>2118</v>
      </c>
    </row>
    <row r="12" spans="2:19" ht="13.5" customHeight="1">
      <c r="B12" s="224" t="s">
        <v>41</v>
      </c>
      <c r="C12" s="361" t="s">
        <v>133</v>
      </c>
      <c r="D12" s="466"/>
      <c r="E12" s="246">
        <v>2542</v>
      </c>
      <c r="F12" s="469"/>
      <c r="G12" s="248">
        <v>2814</v>
      </c>
      <c r="H12" s="466"/>
      <c r="I12" s="246">
        <v>2280</v>
      </c>
      <c r="J12" s="469"/>
      <c r="K12" s="248">
        <v>2697</v>
      </c>
      <c r="L12" s="466"/>
      <c r="M12" s="246">
        <v>2289</v>
      </c>
      <c r="N12" s="469"/>
      <c r="O12" s="248">
        <v>2605</v>
      </c>
      <c r="P12" s="466"/>
      <c r="Q12" s="246">
        <v>2540</v>
      </c>
      <c r="R12" s="469"/>
      <c r="S12" s="248">
        <v>2566</v>
      </c>
    </row>
    <row r="13" spans="2:19" ht="13.5" customHeight="1">
      <c r="B13" s="224" t="s">
        <v>132</v>
      </c>
      <c r="C13" s="361" t="s">
        <v>135</v>
      </c>
      <c r="D13" s="466"/>
      <c r="E13" s="246">
        <v>2644</v>
      </c>
      <c r="F13" s="469"/>
      <c r="G13" s="248">
        <v>2853</v>
      </c>
      <c r="H13" s="466"/>
      <c r="I13" s="246">
        <v>2472</v>
      </c>
      <c r="J13" s="469"/>
      <c r="K13" s="248">
        <v>2880</v>
      </c>
      <c r="L13" s="466"/>
      <c r="M13" s="246">
        <v>2341</v>
      </c>
      <c r="N13" s="469"/>
      <c r="O13" s="248">
        <v>2645</v>
      </c>
      <c r="P13" s="466"/>
      <c r="Q13" s="246">
        <v>2560</v>
      </c>
      <c r="R13" s="469"/>
      <c r="S13" s="248">
        <v>2501</v>
      </c>
    </row>
    <row r="14" spans="2:19" ht="13.5" customHeight="1">
      <c r="B14" s="224" t="s">
        <v>134</v>
      </c>
      <c r="C14" s="361" t="s">
        <v>137</v>
      </c>
      <c r="D14" s="466"/>
      <c r="E14" s="246">
        <v>2643</v>
      </c>
      <c r="F14" s="469"/>
      <c r="G14" s="248">
        <v>2999</v>
      </c>
      <c r="H14" s="466"/>
      <c r="I14" s="246">
        <v>2488</v>
      </c>
      <c r="J14" s="469"/>
      <c r="K14" s="248">
        <v>2931</v>
      </c>
      <c r="L14" s="466"/>
      <c r="M14" s="246">
        <v>2430</v>
      </c>
      <c r="N14" s="469"/>
      <c r="O14" s="248">
        <v>2554</v>
      </c>
      <c r="P14" s="466"/>
      <c r="Q14" s="246">
        <v>2640</v>
      </c>
      <c r="R14" s="469"/>
      <c r="S14" s="248">
        <v>2601</v>
      </c>
    </row>
    <row r="15" spans="2:19" ht="13.5" customHeight="1">
      <c r="B15" s="224" t="s">
        <v>136</v>
      </c>
      <c r="C15" s="361" t="s">
        <v>139</v>
      </c>
      <c r="D15" s="466"/>
      <c r="E15" s="246">
        <v>2845</v>
      </c>
      <c r="F15" s="469"/>
      <c r="G15" s="248">
        <v>3277</v>
      </c>
      <c r="H15" s="466"/>
      <c r="I15" s="246">
        <v>2449</v>
      </c>
      <c r="J15" s="469"/>
      <c r="K15" s="248">
        <v>2934</v>
      </c>
      <c r="L15" s="466"/>
      <c r="M15" s="246">
        <v>2623</v>
      </c>
      <c r="N15" s="469"/>
      <c r="O15" s="248">
        <v>2809</v>
      </c>
      <c r="P15" s="466"/>
      <c r="Q15" s="246">
        <v>2850</v>
      </c>
      <c r="R15" s="469"/>
      <c r="S15" s="248">
        <v>2780</v>
      </c>
    </row>
    <row r="16" spans="2:19" ht="13.5" customHeight="1">
      <c r="B16" s="224" t="s">
        <v>138</v>
      </c>
      <c r="C16" s="361" t="s">
        <v>141</v>
      </c>
      <c r="D16" s="466"/>
      <c r="E16" s="246">
        <v>2765</v>
      </c>
      <c r="F16" s="469"/>
      <c r="G16" s="248">
        <v>3385</v>
      </c>
      <c r="H16" s="466"/>
      <c r="I16" s="246">
        <v>2705</v>
      </c>
      <c r="J16" s="469"/>
      <c r="K16" s="248">
        <v>3133</v>
      </c>
      <c r="L16" s="466"/>
      <c r="M16" s="246">
        <v>2574</v>
      </c>
      <c r="N16" s="469"/>
      <c r="O16" s="248">
        <v>2843</v>
      </c>
      <c r="P16" s="466"/>
      <c r="Q16" s="246">
        <v>2793</v>
      </c>
      <c r="R16" s="469"/>
      <c r="S16" s="248">
        <v>2781</v>
      </c>
    </row>
    <row r="17" spans="2:19" ht="13.5" customHeight="1">
      <c r="B17" s="224" t="s">
        <v>140</v>
      </c>
      <c r="C17" s="361" t="s">
        <v>143</v>
      </c>
      <c r="D17" s="466"/>
      <c r="E17" s="246">
        <v>3083</v>
      </c>
      <c r="F17" s="469"/>
      <c r="G17" s="248">
        <v>3592</v>
      </c>
      <c r="H17" s="466"/>
      <c r="I17" s="246">
        <v>2867</v>
      </c>
      <c r="J17" s="469"/>
      <c r="K17" s="248">
        <v>3440</v>
      </c>
      <c r="L17" s="466"/>
      <c r="M17" s="246">
        <v>2634</v>
      </c>
      <c r="N17" s="469"/>
      <c r="O17" s="248">
        <v>2873</v>
      </c>
      <c r="P17" s="466"/>
      <c r="Q17" s="246">
        <v>2908</v>
      </c>
      <c r="R17" s="469"/>
      <c r="S17" s="248">
        <v>2829</v>
      </c>
    </row>
    <row r="18" spans="2:19" ht="13.5" customHeight="1">
      <c r="B18" s="224" t="s">
        <v>142</v>
      </c>
      <c r="C18" s="361" t="s">
        <v>145</v>
      </c>
      <c r="D18" s="467"/>
      <c r="E18" s="246">
        <v>2944</v>
      </c>
      <c r="F18" s="470"/>
      <c r="G18" s="248">
        <v>3232</v>
      </c>
      <c r="H18" s="467"/>
      <c r="I18" s="246">
        <v>2587</v>
      </c>
      <c r="J18" s="470"/>
      <c r="K18" s="248">
        <v>3426</v>
      </c>
      <c r="L18" s="467"/>
      <c r="M18" s="246">
        <v>2735</v>
      </c>
      <c r="N18" s="470"/>
      <c r="O18" s="248">
        <v>2941</v>
      </c>
      <c r="P18" s="467"/>
      <c r="Q18" s="246">
        <v>2814</v>
      </c>
      <c r="R18" s="470"/>
      <c r="S18" s="248">
        <v>2891</v>
      </c>
    </row>
    <row r="19" spans="2:19" ht="13.5" customHeight="1">
      <c r="B19" s="224" t="s">
        <v>144</v>
      </c>
      <c r="C19" s="361" t="s">
        <v>173</v>
      </c>
      <c r="D19" s="251">
        <v>3068</v>
      </c>
      <c r="E19" s="246">
        <v>3262</v>
      </c>
      <c r="F19" s="246">
        <v>3428</v>
      </c>
      <c r="G19" s="248">
        <v>3682</v>
      </c>
      <c r="H19" s="252">
        <v>2650</v>
      </c>
      <c r="I19" s="246">
        <v>2887</v>
      </c>
      <c r="J19" s="246">
        <v>3198</v>
      </c>
      <c r="K19" s="248">
        <v>3345</v>
      </c>
      <c r="L19" s="251">
        <v>2032</v>
      </c>
      <c r="M19" s="246">
        <v>2639</v>
      </c>
      <c r="N19" s="246">
        <v>2461</v>
      </c>
      <c r="O19" s="248">
        <v>3005</v>
      </c>
      <c r="P19" s="252">
        <v>2032</v>
      </c>
      <c r="Q19" s="246">
        <v>2802</v>
      </c>
      <c r="R19" s="246">
        <v>2461</v>
      </c>
      <c r="S19" s="248">
        <v>2856</v>
      </c>
    </row>
    <row r="20" spans="2:19" ht="30" customHeight="1" thickBot="1">
      <c r="B20" s="253">
        <v>2</v>
      </c>
      <c r="C20" s="362" t="s">
        <v>181</v>
      </c>
      <c r="D20" s="255"/>
      <c r="E20" s="256">
        <v>3419.011011758269</v>
      </c>
      <c r="F20" s="256"/>
      <c r="G20" s="257">
        <v>3837.7692659480545</v>
      </c>
      <c r="H20" s="258"/>
      <c r="I20" s="256">
        <v>2987.4022466128886</v>
      </c>
      <c r="J20" s="256"/>
      <c r="K20" s="257">
        <v>3380.1894959287224</v>
      </c>
      <c r="L20" s="259"/>
      <c r="M20" s="256">
        <v>2648.578820491347</v>
      </c>
      <c r="N20" s="256"/>
      <c r="O20" s="257">
        <v>3070.5554590762454</v>
      </c>
      <c r="P20" s="258"/>
      <c r="Q20" s="256">
        <v>2793.7581119130355</v>
      </c>
      <c r="R20" s="256"/>
      <c r="S20" s="257">
        <v>2877.8457584814682</v>
      </c>
    </row>
    <row r="21" spans="2:19" s="267" customFormat="1" ht="18" customHeight="1" thickBot="1">
      <c r="B21" s="260">
        <v>3</v>
      </c>
      <c r="C21" s="363" t="s">
        <v>90</v>
      </c>
      <c r="D21" s="262">
        <f>+D19*(1+((E21-E20)/E19))</f>
        <v>3050.1196247472813</v>
      </c>
      <c r="E21" s="263">
        <v>3400</v>
      </c>
      <c r="F21" s="264">
        <v>3450</v>
      </c>
      <c r="G21" s="265">
        <v>3850</v>
      </c>
      <c r="H21" s="266">
        <v>2650</v>
      </c>
      <c r="I21" s="263">
        <v>3000</v>
      </c>
      <c r="J21" s="264">
        <v>3200</v>
      </c>
      <c r="K21" s="265">
        <v>3400</v>
      </c>
      <c r="L21" s="262">
        <f>+L19*(1+((M21-M20)/M19))</f>
        <v>2033.094292065776</v>
      </c>
      <c r="M21" s="263">
        <v>2650</v>
      </c>
      <c r="N21" s="264">
        <f>+N19*(1+((O21-O20)/O19))</f>
        <v>2485.1141481575246</v>
      </c>
      <c r="O21" s="265">
        <v>3100</v>
      </c>
      <c r="P21" s="262">
        <f>+P19*(1+((Q21-Q20)/Q19))</f>
        <v>2036.5265940730592</v>
      </c>
      <c r="Q21" s="263">
        <v>2800</v>
      </c>
      <c r="R21" s="264">
        <f>+R19*(1+((S21-S20)/S19))</f>
        <v>2480.090192008791</v>
      </c>
      <c r="S21" s="265">
        <v>2900</v>
      </c>
    </row>
    <row r="22" spans="2:19" ht="18" customHeight="1">
      <c r="B22" s="268"/>
      <c r="C22" s="269" t="s">
        <v>147</v>
      </c>
      <c r="D22" s="270"/>
      <c r="E22" s="271"/>
      <c r="F22" s="271"/>
      <c r="G22" s="272"/>
      <c r="H22" s="270"/>
      <c r="I22" s="271"/>
      <c r="J22" s="271"/>
      <c r="K22" s="272"/>
      <c r="L22" s="270"/>
      <c r="M22" s="271"/>
      <c r="N22" s="271"/>
      <c r="O22" s="272"/>
      <c r="P22" s="270"/>
      <c r="Q22" s="271"/>
      <c r="R22" s="271"/>
      <c r="S22" s="272"/>
    </row>
    <row r="23" spans="2:19" ht="16.5" customHeight="1">
      <c r="B23" s="224" t="s">
        <v>40</v>
      </c>
      <c r="C23" s="273" t="s">
        <v>18</v>
      </c>
      <c r="D23" s="251">
        <v>550</v>
      </c>
      <c r="E23" s="246">
        <v>550</v>
      </c>
      <c r="F23" s="246">
        <v>550</v>
      </c>
      <c r="G23" s="248">
        <v>630</v>
      </c>
      <c r="H23" s="252">
        <v>630</v>
      </c>
      <c r="I23" s="246">
        <v>630</v>
      </c>
      <c r="J23" s="246">
        <v>630</v>
      </c>
      <c r="K23" s="248">
        <v>630</v>
      </c>
      <c r="L23" s="251">
        <v>445</v>
      </c>
      <c r="M23" s="246">
        <v>445</v>
      </c>
      <c r="N23" s="246">
        <v>445</v>
      </c>
      <c r="O23" s="248">
        <v>445</v>
      </c>
      <c r="P23" s="274">
        <f>630-95*0.88</f>
        <v>546.4</v>
      </c>
      <c r="Q23" s="275">
        <f>630-95*0.88</f>
        <v>546.4</v>
      </c>
      <c r="R23" s="275">
        <f>630-95*0.88</f>
        <v>546.4</v>
      </c>
      <c r="S23" s="276">
        <f>630-95*0.88</f>
        <v>546.4</v>
      </c>
    </row>
    <row r="24" spans="2:19" ht="16.5" customHeight="1">
      <c r="B24" s="224" t="s">
        <v>41</v>
      </c>
      <c r="C24" s="273" t="s">
        <v>148</v>
      </c>
      <c r="D24" s="251">
        <v>0</v>
      </c>
      <c r="E24" s="246">
        <v>0</v>
      </c>
      <c r="F24" s="246">
        <v>0</v>
      </c>
      <c r="G24" s="248">
        <v>0</v>
      </c>
      <c r="H24" s="251">
        <v>0</v>
      </c>
      <c r="I24" s="246">
        <v>0</v>
      </c>
      <c r="J24" s="246">
        <v>0</v>
      </c>
      <c r="K24" s="248">
        <v>0</v>
      </c>
      <c r="L24" s="251">
        <v>100</v>
      </c>
      <c r="M24" s="246">
        <v>100</v>
      </c>
      <c r="N24" s="246">
        <v>100</v>
      </c>
      <c r="O24" s="248">
        <v>100</v>
      </c>
      <c r="P24" s="251">
        <v>100</v>
      </c>
      <c r="Q24" s="246">
        <v>100</v>
      </c>
      <c r="R24" s="246">
        <v>100</v>
      </c>
      <c r="S24" s="248">
        <v>100</v>
      </c>
    </row>
    <row r="25" spans="2:19" ht="16.5" customHeight="1">
      <c r="B25" s="224" t="s">
        <v>132</v>
      </c>
      <c r="C25" s="273" t="s">
        <v>15</v>
      </c>
      <c r="D25" s="251">
        <v>48</v>
      </c>
      <c r="E25" s="246">
        <v>48</v>
      </c>
      <c r="F25" s="246">
        <v>48</v>
      </c>
      <c r="G25" s="248">
        <v>48</v>
      </c>
      <c r="H25" s="251">
        <v>48</v>
      </c>
      <c r="I25" s="246">
        <v>48</v>
      </c>
      <c r="J25" s="246">
        <v>48</v>
      </c>
      <c r="K25" s="248">
        <v>48</v>
      </c>
      <c r="L25" s="251">
        <v>100</v>
      </c>
      <c r="M25" s="246">
        <v>100</v>
      </c>
      <c r="N25" s="246">
        <v>100</v>
      </c>
      <c r="O25" s="248">
        <v>100</v>
      </c>
      <c r="P25" s="251">
        <v>100</v>
      </c>
      <c r="Q25" s="246">
        <v>100</v>
      </c>
      <c r="R25" s="246">
        <v>100</v>
      </c>
      <c r="S25" s="248">
        <v>100</v>
      </c>
    </row>
    <row r="26" spans="2:19" ht="16.5" customHeight="1">
      <c r="B26" s="224" t="s">
        <v>134</v>
      </c>
      <c r="C26" s="273" t="s">
        <v>16</v>
      </c>
      <c r="D26" s="251">
        <v>180</v>
      </c>
      <c r="E26" s="246">
        <v>180</v>
      </c>
      <c r="F26" s="246">
        <v>180</v>
      </c>
      <c r="G26" s="248">
        <v>180</v>
      </c>
      <c r="H26" s="251">
        <v>180</v>
      </c>
      <c r="I26" s="246">
        <v>180</v>
      </c>
      <c r="J26" s="246">
        <v>180</v>
      </c>
      <c r="K26" s="248">
        <v>180</v>
      </c>
      <c r="L26" s="251">
        <v>220</v>
      </c>
      <c r="M26" s="246">
        <v>220</v>
      </c>
      <c r="N26" s="246">
        <v>220</v>
      </c>
      <c r="O26" s="248">
        <v>220</v>
      </c>
      <c r="P26" s="251">
        <v>220</v>
      </c>
      <c r="Q26" s="246">
        <v>220</v>
      </c>
      <c r="R26" s="246">
        <v>220</v>
      </c>
      <c r="S26" s="248">
        <v>220</v>
      </c>
    </row>
    <row r="27" spans="2:19" ht="14.25" customHeight="1" thickBot="1">
      <c r="B27" s="277" t="s">
        <v>136</v>
      </c>
      <c r="C27" s="278" t="s">
        <v>149</v>
      </c>
      <c r="D27" s="279">
        <v>300</v>
      </c>
      <c r="E27" s="280">
        <v>300</v>
      </c>
      <c r="F27" s="280">
        <v>300</v>
      </c>
      <c r="G27" s="281">
        <v>300</v>
      </c>
      <c r="H27" s="279">
        <v>300</v>
      </c>
      <c r="I27" s="280">
        <v>300</v>
      </c>
      <c r="J27" s="280">
        <v>300</v>
      </c>
      <c r="K27" s="281">
        <v>300</v>
      </c>
      <c r="L27" s="282">
        <f aca="true" t="shared" si="0" ref="L27:S27">300-104*0.94</f>
        <v>202.24</v>
      </c>
      <c r="M27" s="283">
        <f t="shared" si="0"/>
        <v>202.24</v>
      </c>
      <c r="N27" s="283">
        <f t="shared" si="0"/>
        <v>202.24</v>
      </c>
      <c r="O27" s="284">
        <f t="shared" si="0"/>
        <v>202.24</v>
      </c>
      <c r="P27" s="282">
        <f t="shared" si="0"/>
        <v>202.24</v>
      </c>
      <c r="Q27" s="283">
        <f t="shared" si="0"/>
        <v>202.24</v>
      </c>
      <c r="R27" s="283">
        <f t="shared" si="0"/>
        <v>202.24</v>
      </c>
      <c r="S27" s="284">
        <f t="shared" si="0"/>
        <v>202.24</v>
      </c>
    </row>
    <row r="28" spans="2:19" s="62" customFormat="1" ht="27.75" customHeight="1" thickBot="1">
      <c r="B28" s="285">
        <v>4</v>
      </c>
      <c r="C28" s="286" t="s">
        <v>150</v>
      </c>
      <c r="D28" s="287">
        <f aca="true" t="shared" si="1" ref="D28:S28">+D23*0.95+SUM(D24:D27)*0.9</f>
        <v>997.7</v>
      </c>
      <c r="E28" s="288">
        <f t="shared" si="1"/>
        <v>997.7</v>
      </c>
      <c r="F28" s="288">
        <f t="shared" si="1"/>
        <v>997.7</v>
      </c>
      <c r="G28" s="289">
        <f t="shared" si="1"/>
        <v>1073.7</v>
      </c>
      <c r="H28" s="287">
        <f t="shared" si="1"/>
        <v>1073.7</v>
      </c>
      <c r="I28" s="288">
        <f t="shared" si="1"/>
        <v>1073.7</v>
      </c>
      <c r="J28" s="288">
        <f t="shared" si="1"/>
        <v>1073.7</v>
      </c>
      <c r="K28" s="289">
        <f t="shared" si="1"/>
        <v>1073.7</v>
      </c>
      <c r="L28" s="287">
        <f t="shared" si="1"/>
        <v>982.7660000000001</v>
      </c>
      <c r="M28" s="288">
        <f t="shared" si="1"/>
        <v>982.7660000000001</v>
      </c>
      <c r="N28" s="288">
        <f t="shared" si="1"/>
        <v>982.7660000000001</v>
      </c>
      <c r="O28" s="289">
        <f t="shared" si="1"/>
        <v>982.7660000000001</v>
      </c>
      <c r="P28" s="287">
        <f t="shared" si="1"/>
        <v>1079.096</v>
      </c>
      <c r="Q28" s="288">
        <f t="shared" si="1"/>
        <v>1079.096</v>
      </c>
      <c r="R28" s="288">
        <f t="shared" si="1"/>
        <v>1079.096</v>
      </c>
      <c r="S28" s="289">
        <f t="shared" si="1"/>
        <v>1079.096</v>
      </c>
    </row>
    <row r="29" spans="2:19" ht="15" customHeight="1">
      <c r="B29" s="290"/>
      <c r="C29" s="291" t="s">
        <v>151</v>
      </c>
      <c r="D29" s="292"/>
      <c r="E29" s="293"/>
      <c r="F29" s="293"/>
      <c r="G29" s="294"/>
      <c r="H29" s="292"/>
      <c r="I29" s="293"/>
      <c r="J29" s="293"/>
      <c r="K29" s="294"/>
      <c r="L29" s="292"/>
      <c r="M29" s="293"/>
      <c r="N29" s="293"/>
      <c r="O29" s="294"/>
      <c r="P29" s="292"/>
      <c r="Q29" s="293"/>
      <c r="R29" s="293"/>
      <c r="S29" s="294"/>
    </row>
    <row r="30" spans="2:19" ht="15.75" customHeight="1">
      <c r="B30" s="224" t="s">
        <v>40</v>
      </c>
      <c r="C30" s="295" t="s">
        <v>152</v>
      </c>
      <c r="D30" s="251">
        <v>1500</v>
      </c>
      <c r="E30" s="246">
        <v>1750</v>
      </c>
      <c r="F30" s="246">
        <v>1500</v>
      </c>
      <c r="G30" s="248">
        <v>1750</v>
      </c>
      <c r="H30" s="251">
        <v>1500</v>
      </c>
      <c r="I30" s="246">
        <v>1750</v>
      </c>
      <c r="J30" s="246">
        <v>1500</v>
      </c>
      <c r="K30" s="248">
        <v>1750</v>
      </c>
      <c r="L30" s="251">
        <v>1611</v>
      </c>
      <c r="M30" s="246">
        <v>1855</v>
      </c>
      <c r="N30" s="246">
        <v>1611</v>
      </c>
      <c r="O30" s="248">
        <v>1855</v>
      </c>
      <c r="P30" s="251">
        <v>1611</v>
      </c>
      <c r="Q30" s="246">
        <v>1855</v>
      </c>
      <c r="R30" s="246">
        <v>1611</v>
      </c>
      <c r="S30" s="248">
        <v>1855</v>
      </c>
    </row>
    <row r="31" spans="2:19" ht="17.25" customHeight="1" thickBot="1">
      <c r="B31" s="277" t="s">
        <v>41</v>
      </c>
      <c r="C31" s="296" t="s">
        <v>153</v>
      </c>
      <c r="D31" s="279">
        <v>80</v>
      </c>
      <c r="E31" s="280">
        <v>85</v>
      </c>
      <c r="F31" s="280">
        <v>80</v>
      </c>
      <c r="G31" s="281">
        <v>85</v>
      </c>
      <c r="H31" s="279">
        <v>80</v>
      </c>
      <c r="I31" s="280">
        <v>85</v>
      </c>
      <c r="J31" s="280">
        <v>80</v>
      </c>
      <c r="K31" s="281">
        <v>85</v>
      </c>
      <c r="L31" s="279">
        <v>80</v>
      </c>
      <c r="M31" s="280">
        <v>85</v>
      </c>
      <c r="N31" s="280">
        <v>80</v>
      </c>
      <c r="O31" s="280">
        <v>85</v>
      </c>
      <c r="P31" s="279">
        <v>80</v>
      </c>
      <c r="Q31" s="280">
        <v>85</v>
      </c>
      <c r="R31" s="280">
        <v>80</v>
      </c>
      <c r="S31" s="280">
        <v>85</v>
      </c>
    </row>
    <row r="32" spans="2:19" s="62" customFormat="1" ht="15.75" customHeight="1" thickBot="1">
      <c r="B32" s="285">
        <v>5</v>
      </c>
      <c r="C32" s="297" t="s">
        <v>21</v>
      </c>
      <c r="D32" s="298">
        <f aca="true" t="shared" si="2" ref="D32:S32">SUM(D30:D31)</f>
        <v>1580</v>
      </c>
      <c r="E32" s="299">
        <f t="shared" si="2"/>
        <v>1835</v>
      </c>
      <c r="F32" s="299">
        <f t="shared" si="2"/>
        <v>1580</v>
      </c>
      <c r="G32" s="300">
        <f t="shared" si="2"/>
        <v>1835</v>
      </c>
      <c r="H32" s="298">
        <f t="shared" si="2"/>
        <v>1580</v>
      </c>
      <c r="I32" s="299">
        <f t="shared" si="2"/>
        <v>1835</v>
      </c>
      <c r="J32" s="299">
        <f t="shared" si="2"/>
        <v>1580</v>
      </c>
      <c r="K32" s="300">
        <f t="shared" si="2"/>
        <v>1835</v>
      </c>
      <c r="L32" s="298">
        <f t="shared" si="2"/>
        <v>1691</v>
      </c>
      <c r="M32" s="299">
        <f t="shared" si="2"/>
        <v>1940</v>
      </c>
      <c r="N32" s="299">
        <f t="shared" si="2"/>
        <v>1691</v>
      </c>
      <c r="O32" s="300">
        <f t="shared" si="2"/>
        <v>1940</v>
      </c>
      <c r="P32" s="298">
        <f t="shared" si="2"/>
        <v>1691</v>
      </c>
      <c r="Q32" s="299">
        <f t="shared" si="2"/>
        <v>1940</v>
      </c>
      <c r="R32" s="299">
        <f t="shared" si="2"/>
        <v>1691</v>
      </c>
      <c r="S32" s="300">
        <f t="shared" si="2"/>
        <v>1940</v>
      </c>
    </row>
    <row r="33" spans="2:19" ht="18" customHeight="1">
      <c r="B33" s="301"/>
      <c r="C33" s="302" t="s">
        <v>154</v>
      </c>
      <c r="D33" s="292"/>
      <c r="E33" s="293"/>
      <c r="F33" s="293"/>
      <c r="G33" s="294"/>
      <c r="H33" s="292"/>
      <c r="I33" s="293"/>
      <c r="J33" s="293"/>
      <c r="K33" s="294"/>
      <c r="L33" s="292"/>
      <c r="M33" s="293"/>
      <c r="N33" s="293"/>
      <c r="O33" s="294"/>
      <c r="P33" s="292"/>
      <c r="Q33" s="293"/>
      <c r="R33" s="293"/>
      <c r="S33" s="294"/>
    </row>
    <row r="34" spans="2:19" ht="14.25" customHeight="1" thickBot="1">
      <c r="B34" s="224" t="s">
        <v>40</v>
      </c>
      <c r="C34" s="303" t="s">
        <v>29</v>
      </c>
      <c r="D34" s="251">
        <v>212</v>
      </c>
      <c r="E34" s="246">
        <v>212</v>
      </c>
      <c r="F34" s="246">
        <v>212</v>
      </c>
      <c r="G34" s="248">
        <v>212</v>
      </c>
      <c r="H34" s="251">
        <v>212</v>
      </c>
      <c r="I34" s="246">
        <v>212</v>
      </c>
      <c r="J34" s="246">
        <v>212</v>
      </c>
      <c r="K34" s="248">
        <v>212</v>
      </c>
      <c r="L34" s="251">
        <v>92</v>
      </c>
      <c r="M34" s="246">
        <v>92</v>
      </c>
      <c r="N34" s="246">
        <v>92</v>
      </c>
      <c r="O34" s="248">
        <v>92</v>
      </c>
      <c r="P34" s="251">
        <v>92</v>
      </c>
      <c r="Q34" s="246">
        <v>92</v>
      </c>
      <c r="R34" s="246">
        <v>92</v>
      </c>
      <c r="S34" s="248">
        <v>92</v>
      </c>
    </row>
    <row r="35" spans="2:19" ht="14.25" customHeight="1" thickBot="1">
      <c r="B35" s="285">
        <v>6</v>
      </c>
      <c r="C35" s="286" t="s">
        <v>156</v>
      </c>
      <c r="D35" s="305">
        <f aca="true" t="shared" si="3" ref="D35:S35">+SUM(D34:D34)</f>
        <v>212</v>
      </c>
      <c r="E35" s="306">
        <f t="shared" si="3"/>
        <v>212</v>
      </c>
      <c r="F35" s="306">
        <f t="shared" si="3"/>
        <v>212</v>
      </c>
      <c r="G35" s="307">
        <f t="shared" si="3"/>
        <v>212</v>
      </c>
      <c r="H35" s="305">
        <f t="shared" si="3"/>
        <v>212</v>
      </c>
      <c r="I35" s="306">
        <f t="shared" si="3"/>
        <v>212</v>
      </c>
      <c r="J35" s="306">
        <f t="shared" si="3"/>
        <v>212</v>
      </c>
      <c r="K35" s="307">
        <f t="shared" si="3"/>
        <v>212</v>
      </c>
      <c r="L35" s="305">
        <f t="shared" si="3"/>
        <v>92</v>
      </c>
      <c r="M35" s="306">
        <f t="shared" si="3"/>
        <v>92</v>
      </c>
      <c r="N35" s="306">
        <f t="shared" si="3"/>
        <v>92</v>
      </c>
      <c r="O35" s="307">
        <f t="shared" si="3"/>
        <v>92</v>
      </c>
      <c r="P35" s="305">
        <f t="shared" si="3"/>
        <v>92</v>
      </c>
      <c r="Q35" s="306">
        <f t="shared" si="3"/>
        <v>92</v>
      </c>
      <c r="R35" s="306">
        <f t="shared" si="3"/>
        <v>92</v>
      </c>
      <c r="S35" s="307">
        <f t="shared" si="3"/>
        <v>92</v>
      </c>
    </row>
    <row r="36" spans="2:19" s="313" customFormat="1" ht="14.25" customHeight="1" thickBot="1">
      <c r="B36" s="308">
        <v>7</v>
      </c>
      <c r="C36" s="309" t="s">
        <v>157</v>
      </c>
      <c r="D36" s="310">
        <f aca="true" t="shared" si="4" ref="D36:S36">+D28+D32+D35</f>
        <v>2789.7</v>
      </c>
      <c r="E36" s="311">
        <f t="shared" si="4"/>
        <v>3044.7</v>
      </c>
      <c r="F36" s="311">
        <f t="shared" si="4"/>
        <v>2789.7</v>
      </c>
      <c r="G36" s="312">
        <f t="shared" si="4"/>
        <v>3120.7</v>
      </c>
      <c r="H36" s="310">
        <f t="shared" si="4"/>
        <v>2865.7</v>
      </c>
      <c r="I36" s="311">
        <f t="shared" si="4"/>
        <v>3120.7</v>
      </c>
      <c r="J36" s="311">
        <f t="shared" si="4"/>
        <v>2865.7</v>
      </c>
      <c r="K36" s="312">
        <f t="shared" si="4"/>
        <v>3120.7</v>
      </c>
      <c r="L36" s="310">
        <f t="shared" si="4"/>
        <v>2765.766</v>
      </c>
      <c r="M36" s="311">
        <f t="shared" si="4"/>
        <v>3014.766</v>
      </c>
      <c r="N36" s="311">
        <f t="shared" si="4"/>
        <v>2765.766</v>
      </c>
      <c r="O36" s="312">
        <f t="shared" si="4"/>
        <v>3014.766</v>
      </c>
      <c r="P36" s="310">
        <f t="shared" si="4"/>
        <v>2862.096</v>
      </c>
      <c r="Q36" s="311">
        <f t="shared" si="4"/>
        <v>3111.096</v>
      </c>
      <c r="R36" s="311">
        <f t="shared" si="4"/>
        <v>2862.096</v>
      </c>
      <c r="S36" s="312">
        <f t="shared" si="4"/>
        <v>3111.096</v>
      </c>
    </row>
    <row r="37" spans="2:19" s="320" customFormat="1" ht="21" customHeight="1" thickBot="1">
      <c r="B37" s="176">
        <v>8</v>
      </c>
      <c r="C37" s="314" t="s">
        <v>158</v>
      </c>
      <c r="D37" s="364">
        <f aca="true" t="shared" si="5" ref="D37:S37">+D36-D21</f>
        <v>-260.41962474728143</v>
      </c>
      <c r="E37" s="318">
        <f t="shared" si="5"/>
        <v>-355.3000000000002</v>
      </c>
      <c r="F37" s="318">
        <f t="shared" si="5"/>
        <v>-660.3000000000002</v>
      </c>
      <c r="G37" s="317">
        <f t="shared" si="5"/>
        <v>-729.3000000000002</v>
      </c>
      <c r="H37" s="315">
        <f t="shared" si="5"/>
        <v>215.69999999999982</v>
      </c>
      <c r="I37" s="316">
        <f t="shared" si="5"/>
        <v>120.69999999999982</v>
      </c>
      <c r="J37" s="318">
        <f t="shared" si="5"/>
        <v>-334.3000000000002</v>
      </c>
      <c r="K37" s="317">
        <f t="shared" si="5"/>
        <v>-279.3000000000002</v>
      </c>
      <c r="L37" s="315">
        <f t="shared" si="5"/>
        <v>732.6717079342241</v>
      </c>
      <c r="M37" s="316">
        <f t="shared" si="5"/>
        <v>364.7660000000001</v>
      </c>
      <c r="N37" s="316">
        <f t="shared" si="5"/>
        <v>280.6518518424755</v>
      </c>
      <c r="O37" s="317">
        <f t="shared" si="5"/>
        <v>-85.23399999999992</v>
      </c>
      <c r="P37" s="315">
        <f t="shared" si="5"/>
        <v>825.5694059269408</v>
      </c>
      <c r="Q37" s="316">
        <f t="shared" si="5"/>
        <v>311.096</v>
      </c>
      <c r="R37" s="316">
        <f t="shared" si="5"/>
        <v>382.00580799120917</v>
      </c>
      <c r="S37" s="319">
        <f t="shared" si="5"/>
        <v>211.096</v>
      </c>
    </row>
    <row r="38" spans="2:27" ht="12.75">
      <c r="B38" s="17"/>
      <c r="C38" s="17" t="s">
        <v>101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2:27" ht="12.75">
      <c r="B39" s="17">
        <v>1</v>
      </c>
      <c r="C39" s="128" t="s">
        <v>159</v>
      </c>
      <c r="D39" s="1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 ht="12.75">
      <c r="B40" s="18" t="s">
        <v>160</v>
      </c>
      <c r="C40" s="129" t="s">
        <v>161</v>
      </c>
      <c r="D40" s="1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2:27" ht="12.75">
      <c r="B41" s="18" t="s">
        <v>162</v>
      </c>
      <c r="C41" s="129" t="s">
        <v>163</v>
      </c>
      <c r="D41" s="1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2:27" ht="14.25">
      <c r="B42" s="1">
        <v>4</v>
      </c>
      <c r="C42" s="129" t="s">
        <v>212</v>
      </c>
      <c r="D42" s="12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 ht="12.75">
      <c r="B43" s="105">
        <v>5</v>
      </c>
      <c r="C43" s="60" t="s">
        <v>208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2:27" ht="12.75">
      <c r="B44" s="105">
        <v>6</v>
      </c>
      <c r="C44" s="37" t="s">
        <v>210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2:27" ht="12.75">
      <c r="B45" s="105">
        <v>7</v>
      </c>
      <c r="C45" s="37" t="s">
        <v>209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0:27" ht="14.25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27" ht="12.75" hidden="1">
      <c r="B47" s="17"/>
      <c r="C47" s="129"/>
      <c r="D47" s="1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27" ht="12.75" hidden="1">
      <c r="B48" s="17"/>
      <c r="C48" s="129"/>
      <c r="D48" s="12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27" ht="12.75" hidden="1">
      <c r="B49" s="17"/>
      <c r="C49" s="129"/>
      <c r="D49" s="1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3:6" ht="18" hidden="1">
      <c r="C50" s="110" t="s">
        <v>164</v>
      </c>
      <c r="F50" s="110"/>
    </row>
    <row r="51" spans="3:4" ht="10.5" customHeight="1" hidden="1">
      <c r="C51" s="111" t="s">
        <v>121</v>
      </c>
      <c r="D51" s="111"/>
    </row>
    <row r="52" ht="6.75" customHeight="1" hidden="1"/>
    <row r="53" spans="3:26" ht="12.75" hidden="1">
      <c r="C53" s="62" t="s">
        <v>165</v>
      </c>
      <c r="D53" s="62"/>
      <c r="Q53" s="112" t="s">
        <v>122</v>
      </c>
      <c r="Z53" s="112"/>
    </row>
    <row r="54" ht="12" customHeight="1" hidden="1">
      <c r="O54" t="s">
        <v>123</v>
      </c>
    </row>
    <row r="55" spans="2:27" ht="13.5" hidden="1" thickBot="1">
      <c r="B55" s="227" t="s">
        <v>37</v>
      </c>
      <c r="C55" s="228" t="s">
        <v>38</v>
      </c>
      <c r="D55" s="229"/>
      <c r="E55" s="477" t="s">
        <v>166</v>
      </c>
      <c r="F55" s="477"/>
      <c r="G55" s="478"/>
      <c r="H55" s="478"/>
      <c r="I55" s="478"/>
      <c r="J55" s="478"/>
      <c r="K55" s="479"/>
      <c r="L55" s="474" t="s">
        <v>167</v>
      </c>
      <c r="M55" s="475"/>
      <c r="N55" s="475"/>
      <c r="O55" s="475"/>
      <c r="P55" s="475"/>
      <c r="Q55" s="475"/>
      <c r="R55" s="475"/>
      <c r="S55" s="476"/>
      <c r="T55" s="17"/>
      <c r="U55" s="17"/>
      <c r="V55" s="17"/>
      <c r="W55" s="17"/>
      <c r="X55" s="17"/>
      <c r="Y55" s="17"/>
      <c r="Z55" s="17"/>
      <c r="AA55" s="17"/>
    </row>
    <row r="56" spans="2:27" ht="13.5" hidden="1" thickBot="1">
      <c r="B56" s="230" t="s">
        <v>39</v>
      </c>
      <c r="C56" s="231"/>
      <c r="D56" s="232"/>
      <c r="E56" s="480" t="s">
        <v>178</v>
      </c>
      <c r="F56" s="480"/>
      <c r="G56" s="481"/>
      <c r="H56" s="232"/>
      <c r="I56" s="473" t="s">
        <v>179</v>
      </c>
      <c r="J56" s="480"/>
      <c r="K56" s="481"/>
      <c r="L56" s="473" t="s">
        <v>178</v>
      </c>
      <c r="M56" s="483"/>
      <c r="N56" s="483"/>
      <c r="O56" s="484"/>
      <c r="P56" s="473" t="s">
        <v>179</v>
      </c>
      <c r="Q56" s="471"/>
      <c r="R56" s="471"/>
      <c r="S56" s="472"/>
      <c r="T56" s="17"/>
      <c r="U56" s="17"/>
      <c r="V56" s="17"/>
      <c r="W56" s="17"/>
      <c r="X56" s="17"/>
      <c r="Y56" s="17"/>
      <c r="Z56" s="17"/>
      <c r="AA56" s="17"/>
    </row>
    <row r="57" spans="2:27" ht="23.25" hidden="1" thickBot="1">
      <c r="B57" s="233"/>
      <c r="C57" s="42"/>
      <c r="D57" s="234" t="s">
        <v>125</v>
      </c>
      <c r="E57" s="235" t="s">
        <v>126</v>
      </c>
      <c r="F57" s="235" t="s">
        <v>127</v>
      </c>
      <c r="G57" s="236" t="s">
        <v>128</v>
      </c>
      <c r="H57" s="234" t="s">
        <v>125</v>
      </c>
      <c r="I57" s="235" t="s">
        <v>126</v>
      </c>
      <c r="J57" s="235" t="s">
        <v>127</v>
      </c>
      <c r="K57" s="236" t="s">
        <v>128</v>
      </c>
      <c r="L57" s="234" t="s">
        <v>125</v>
      </c>
      <c r="M57" s="235" t="s">
        <v>126</v>
      </c>
      <c r="N57" s="235" t="s">
        <v>127</v>
      </c>
      <c r="O57" s="236" t="s">
        <v>128</v>
      </c>
      <c r="P57" s="234" t="s">
        <v>125</v>
      </c>
      <c r="Q57" s="235" t="s">
        <v>126</v>
      </c>
      <c r="R57" s="235" t="s">
        <v>127</v>
      </c>
      <c r="S57" s="236" t="s">
        <v>128</v>
      </c>
      <c r="T57" s="17"/>
      <c r="U57" s="17"/>
      <c r="V57" s="17"/>
      <c r="W57" s="17"/>
      <c r="X57" s="17"/>
      <c r="Y57" s="17"/>
      <c r="Z57" s="17"/>
      <c r="AA57" s="17"/>
    </row>
    <row r="58" spans="2:27" ht="16.5" customHeight="1" hidden="1">
      <c r="B58" s="238">
        <v>1</v>
      </c>
      <c r="C58" s="239" t="s">
        <v>129</v>
      </c>
      <c r="D58" s="465"/>
      <c r="E58" s="241"/>
      <c r="F58" s="468"/>
      <c r="G58" s="243"/>
      <c r="H58" s="465"/>
      <c r="I58" s="241"/>
      <c r="J58" s="468"/>
      <c r="K58" s="243"/>
      <c r="L58" s="465"/>
      <c r="M58" s="241"/>
      <c r="N58" s="468"/>
      <c r="O58" s="243"/>
      <c r="P58" s="465"/>
      <c r="Q58" s="241"/>
      <c r="R58" s="468"/>
      <c r="S58" s="243"/>
      <c r="T58" s="17"/>
      <c r="U58" s="17"/>
      <c r="V58" s="17"/>
      <c r="W58" s="17"/>
      <c r="X58" s="17"/>
      <c r="Y58" s="17"/>
      <c r="Z58" s="17"/>
      <c r="AA58" s="17"/>
    </row>
    <row r="59" spans="2:27" ht="16.5" customHeight="1" hidden="1">
      <c r="B59" s="224" t="s">
        <v>40</v>
      </c>
      <c r="C59" s="244" t="s">
        <v>130</v>
      </c>
      <c r="D59" s="466"/>
      <c r="E59" s="246">
        <v>2440</v>
      </c>
      <c r="F59" s="469"/>
      <c r="G59" s="248">
        <v>2544</v>
      </c>
      <c r="H59" s="466"/>
      <c r="I59" s="246">
        <v>2832</v>
      </c>
      <c r="J59" s="469"/>
      <c r="K59" s="248">
        <v>2516</v>
      </c>
      <c r="L59" s="466"/>
      <c r="M59" s="246">
        <v>2770</v>
      </c>
      <c r="N59" s="469"/>
      <c r="O59" s="248">
        <v>2775</v>
      </c>
      <c r="P59" s="466"/>
      <c r="Q59" s="246">
        <v>2757</v>
      </c>
      <c r="R59" s="469"/>
      <c r="S59" s="248">
        <v>2661</v>
      </c>
      <c r="T59" s="17"/>
      <c r="U59" s="17"/>
      <c r="V59" s="17"/>
      <c r="W59" s="17"/>
      <c r="X59" s="17"/>
      <c r="Y59" s="17"/>
      <c r="Z59" s="17"/>
      <c r="AA59" s="17"/>
    </row>
    <row r="60" spans="2:27" ht="16.5" customHeight="1" hidden="1">
      <c r="B60" s="224" t="s">
        <v>41</v>
      </c>
      <c r="C60" s="244" t="s">
        <v>131</v>
      </c>
      <c r="D60" s="466"/>
      <c r="E60" s="246">
        <v>2739</v>
      </c>
      <c r="F60" s="469"/>
      <c r="G60" s="248">
        <v>2623</v>
      </c>
      <c r="H60" s="466"/>
      <c r="I60" s="246">
        <v>2703</v>
      </c>
      <c r="J60" s="469"/>
      <c r="K60" s="248">
        <v>2611</v>
      </c>
      <c r="L60" s="466"/>
      <c r="M60" s="246">
        <v>3054</v>
      </c>
      <c r="N60" s="469"/>
      <c r="O60" s="248">
        <v>2893</v>
      </c>
      <c r="P60" s="466"/>
      <c r="Q60" s="246">
        <v>3072</v>
      </c>
      <c r="R60" s="469"/>
      <c r="S60" s="248">
        <v>2844</v>
      </c>
      <c r="T60" s="17"/>
      <c r="U60" s="17"/>
      <c r="V60" s="17"/>
      <c r="W60" s="17"/>
      <c r="X60" s="17"/>
      <c r="Y60" s="17"/>
      <c r="Z60" s="17"/>
      <c r="AA60" s="17"/>
    </row>
    <row r="61" spans="2:27" ht="16.5" customHeight="1" hidden="1">
      <c r="B61" s="224" t="s">
        <v>132</v>
      </c>
      <c r="C61" s="244" t="s">
        <v>133</v>
      </c>
      <c r="D61" s="466"/>
      <c r="E61" s="246">
        <v>2703</v>
      </c>
      <c r="F61" s="469"/>
      <c r="G61" s="248">
        <v>2576</v>
      </c>
      <c r="H61" s="466"/>
      <c r="I61" s="246">
        <v>2778</v>
      </c>
      <c r="J61" s="469"/>
      <c r="K61" s="248">
        <v>2754</v>
      </c>
      <c r="L61" s="466"/>
      <c r="M61" s="246">
        <v>3018</v>
      </c>
      <c r="N61" s="469"/>
      <c r="O61" s="248">
        <v>2919</v>
      </c>
      <c r="P61" s="466"/>
      <c r="Q61" s="246">
        <v>3060</v>
      </c>
      <c r="R61" s="469"/>
      <c r="S61" s="248">
        <v>2910</v>
      </c>
      <c r="T61" s="17"/>
      <c r="U61" s="17"/>
      <c r="V61" s="17"/>
      <c r="W61" s="17"/>
      <c r="X61" s="17"/>
      <c r="Y61" s="17"/>
      <c r="Z61" s="17"/>
      <c r="AA61" s="17"/>
    </row>
    <row r="62" spans="2:27" ht="16.5" customHeight="1" hidden="1">
      <c r="B62" s="224" t="s">
        <v>134</v>
      </c>
      <c r="C62" s="244" t="s">
        <v>135</v>
      </c>
      <c r="D62" s="466"/>
      <c r="E62" s="246">
        <v>2894</v>
      </c>
      <c r="F62" s="469"/>
      <c r="G62" s="248">
        <v>2782</v>
      </c>
      <c r="H62" s="466"/>
      <c r="I62" s="246">
        <v>2926</v>
      </c>
      <c r="J62" s="469"/>
      <c r="K62" s="248">
        <v>2733</v>
      </c>
      <c r="L62" s="466"/>
      <c r="M62" s="246">
        <v>3356</v>
      </c>
      <c r="N62" s="469"/>
      <c r="O62" s="248">
        <v>3191</v>
      </c>
      <c r="P62" s="466"/>
      <c r="Q62" s="246">
        <v>3417</v>
      </c>
      <c r="R62" s="469"/>
      <c r="S62" s="248">
        <v>3319</v>
      </c>
      <c r="T62" s="17"/>
      <c r="U62" s="17"/>
      <c r="V62" s="17"/>
      <c r="W62" s="17"/>
      <c r="X62" s="17"/>
      <c r="Y62" s="17"/>
      <c r="Z62" s="17"/>
      <c r="AA62" s="17"/>
    </row>
    <row r="63" spans="2:27" ht="16.5" customHeight="1" hidden="1">
      <c r="B63" s="224" t="s">
        <v>136</v>
      </c>
      <c r="C63" s="244" t="s">
        <v>137</v>
      </c>
      <c r="D63" s="466"/>
      <c r="E63" s="246">
        <v>2960</v>
      </c>
      <c r="F63" s="469"/>
      <c r="G63" s="248">
        <v>2831</v>
      </c>
      <c r="H63" s="466"/>
      <c r="I63" s="246">
        <v>3354</v>
      </c>
      <c r="J63" s="469"/>
      <c r="K63" s="248">
        <v>3115</v>
      </c>
      <c r="L63" s="466"/>
      <c r="M63" s="246">
        <v>3372</v>
      </c>
      <c r="N63" s="469"/>
      <c r="O63" s="248">
        <v>3233</v>
      </c>
      <c r="P63" s="466"/>
      <c r="Q63" s="246">
        <v>3149</v>
      </c>
      <c r="R63" s="469"/>
      <c r="S63" s="248">
        <v>3048</v>
      </c>
      <c r="T63" s="17"/>
      <c r="U63" s="17"/>
      <c r="V63" s="17"/>
      <c r="W63" s="17"/>
      <c r="X63" s="17"/>
      <c r="Y63" s="17"/>
      <c r="Z63" s="17"/>
      <c r="AA63" s="17"/>
    </row>
    <row r="64" spans="2:27" ht="16.5" customHeight="1" hidden="1">
      <c r="B64" s="224" t="s">
        <v>138</v>
      </c>
      <c r="C64" s="244" t="s">
        <v>139</v>
      </c>
      <c r="D64" s="466"/>
      <c r="E64" s="246">
        <v>2870</v>
      </c>
      <c r="F64" s="469"/>
      <c r="G64" s="248">
        <v>2848</v>
      </c>
      <c r="H64" s="466"/>
      <c r="I64" s="246">
        <v>3168</v>
      </c>
      <c r="J64" s="469"/>
      <c r="K64" s="248">
        <v>2940</v>
      </c>
      <c r="L64" s="466"/>
      <c r="M64" s="246">
        <v>3168</v>
      </c>
      <c r="N64" s="469"/>
      <c r="O64" s="248">
        <v>3006</v>
      </c>
      <c r="P64" s="466"/>
      <c r="Q64" s="246">
        <v>3282</v>
      </c>
      <c r="R64" s="469"/>
      <c r="S64" s="248">
        <v>3112</v>
      </c>
      <c r="T64" s="17"/>
      <c r="U64" s="17"/>
      <c r="V64" s="17"/>
      <c r="W64" s="17"/>
      <c r="X64" s="17"/>
      <c r="Y64" s="17"/>
      <c r="Z64" s="17"/>
      <c r="AA64" s="17"/>
    </row>
    <row r="65" spans="2:27" ht="16.5" customHeight="1" hidden="1">
      <c r="B65" s="224" t="s">
        <v>140</v>
      </c>
      <c r="C65" s="244" t="s">
        <v>141</v>
      </c>
      <c r="D65" s="466"/>
      <c r="E65" s="246">
        <v>3086</v>
      </c>
      <c r="F65" s="469"/>
      <c r="G65" s="248">
        <v>3107</v>
      </c>
      <c r="H65" s="466"/>
      <c r="I65" s="246">
        <v>3394</v>
      </c>
      <c r="J65" s="469"/>
      <c r="K65" s="248">
        <v>3094</v>
      </c>
      <c r="L65" s="466"/>
      <c r="M65" s="246">
        <v>3516</v>
      </c>
      <c r="N65" s="469"/>
      <c r="O65" s="248">
        <v>3375</v>
      </c>
      <c r="P65" s="466"/>
      <c r="Q65" s="246">
        <v>3166</v>
      </c>
      <c r="R65" s="469"/>
      <c r="S65" s="248">
        <v>2990</v>
      </c>
      <c r="T65" s="17"/>
      <c r="U65" s="17"/>
      <c r="V65" s="17"/>
      <c r="W65" s="17"/>
      <c r="X65" s="17"/>
      <c r="Y65" s="17"/>
      <c r="Z65" s="17"/>
      <c r="AA65" s="17"/>
    </row>
    <row r="66" spans="2:27" ht="16.5" customHeight="1" hidden="1">
      <c r="B66" s="224" t="s">
        <v>142</v>
      </c>
      <c r="C66" s="244" t="s">
        <v>143</v>
      </c>
      <c r="D66" s="467"/>
      <c r="E66" s="246">
        <v>2986</v>
      </c>
      <c r="F66" s="470"/>
      <c r="G66" s="248">
        <v>3033</v>
      </c>
      <c r="H66" s="467"/>
      <c r="I66" s="246">
        <v>3059</v>
      </c>
      <c r="J66" s="470"/>
      <c r="K66" s="248">
        <v>2972</v>
      </c>
      <c r="L66" s="467"/>
      <c r="M66" s="246">
        <v>3293</v>
      </c>
      <c r="N66" s="470"/>
      <c r="O66" s="248">
        <v>3125</v>
      </c>
      <c r="P66" s="467"/>
      <c r="Q66" s="246">
        <v>3240</v>
      </c>
      <c r="R66" s="470"/>
      <c r="S66" s="248">
        <v>3049</v>
      </c>
      <c r="T66" s="17"/>
      <c r="U66" s="17"/>
      <c r="V66" s="17"/>
      <c r="W66" s="17"/>
      <c r="X66" s="17"/>
      <c r="Y66" s="17"/>
      <c r="Z66" s="17"/>
      <c r="AA66" s="17"/>
    </row>
    <row r="67" spans="2:27" ht="16.5" customHeight="1" hidden="1">
      <c r="B67" s="224" t="s">
        <v>144</v>
      </c>
      <c r="C67" s="244" t="s">
        <v>145</v>
      </c>
      <c r="D67" s="251">
        <v>2043</v>
      </c>
      <c r="E67" s="246">
        <v>3015</v>
      </c>
      <c r="F67" s="246">
        <v>2687</v>
      </c>
      <c r="G67" s="248">
        <v>2913</v>
      </c>
      <c r="H67" s="252">
        <v>2043</v>
      </c>
      <c r="I67" s="246">
        <v>3229</v>
      </c>
      <c r="J67" s="246">
        <v>2687</v>
      </c>
      <c r="K67" s="248">
        <v>3005</v>
      </c>
      <c r="L67" s="251">
        <v>2237</v>
      </c>
      <c r="M67" s="246">
        <v>3353</v>
      </c>
      <c r="N67" s="246">
        <v>2757</v>
      </c>
      <c r="O67" s="248">
        <v>3132</v>
      </c>
      <c r="P67" s="252">
        <v>2237</v>
      </c>
      <c r="Q67" s="246">
        <v>3301</v>
      </c>
      <c r="R67" s="246">
        <v>2757</v>
      </c>
      <c r="S67" s="248">
        <v>3318</v>
      </c>
      <c r="T67" s="17"/>
      <c r="U67" s="17"/>
      <c r="V67" s="17"/>
      <c r="W67" s="17"/>
      <c r="X67" s="17"/>
      <c r="Y67" s="17"/>
      <c r="Z67" s="17"/>
      <c r="AA67" s="17"/>
    </row>
    <row r="68" spans="2:27" ht="16.5" customHeight="1" hidden="1" thickBot="1">
      <c r="B68" s="253">
        <v>2</v>
      </c>
      <c r="C68" s="254" t="s">
        <v>146</v>
      </c>
      <c r="D68" s="259"/>
      <c r="E68" s="256">
        <v>3030.721059339954</v>
      </c>
      <c r="F68" s="256"/>
      <c r="G68" s="257">
        <v>2893.4106579726063</v>
      </c>
      <c r="H68" s="258"/>
      <c r="I68" s="256">
        <v>3248.6214950198128</v>
      </c>
      <c r="J68" s="256"/>
      <c r="K68" s="257">
        <v>3010.892716154099</v>
      </c>
      <c r="L68" s="255"/>
      <c r="M68" s="256">
        <v>3360.4135412762384</v>
      </c>
      <c r="N68" s="256"/>
      <c r="O68" s="257">
        <v>3113.05103127918</v>
      </c>
      <c r="P68" s="258"/>
      <c r="Q68" s="256">
        <v>3339.8761666503724</v>
      </c>
      <c r="R68" s="256"/>
      <c r="S68" s="257">
        <v>3440.057072566741</v>
      </c>
      <c r="T68" s="17"/>
      <c r="U68" s="17"/>
      <c r="V68" s="17"/>
      <c r="W68" s="17"/>
      <c r="X68" s="17"/>
      <c r="Y68" s="17"/>
      <c r="Z68" s="17"/>
      <c r="AA68" s="17"/>
    </row>
    <row r="69" spans="2:27" ht="16.5" customHeight="1" hidden="1" thickBot="1">
      <c r="B69" s="260">
        <v>3</v>
      </c>
      <c r="C69" s="261" t="s">
        <v>90</v>
      </c>
      <c r="D69" s="262">
        <v>2060</v>
      </c>
      <c r="E69" s="263">
        <v>3050</v>
      </c>
      <c r="F69" s="264">
        <v>2700</v>
      </c>
      <c r="G69" s="265">
        <v>2900</v>
      </c>
      <c r="H69" s="262">
        <v>2050</v>
      </c>
      <c r="I69" s="263">
        <v>3250</v>
      </c>
      <c r="J69" s="264">
        <v>2800</v>
      </c>
      <c r="K69" s="265">
        <v>3150</v>
      </c>
      <c r="L69" s="262">
        <v>2250</v>
      </c>
      <c r="M69" s="263">
        <v>3400</v>
      </c>
      <c r="N69" s="266">
        <v>2800</v>
      </c>
      <c r="O69" s="265">
        <v>3150</v>
      </c>
      <c r="P69" s="266">
        <v>2250</v>
      </c>
      <c r="Q69" s="263">
        <v>3350</v>
      </c>
      <c r="R69" s="266">
        <v>2800</v>
      </c>
      <c r="S69" s="265">
        <v>3450</v>
      </c>
      <c r="T69" s="17"/>
      <c r="U69" s="17"/>
      <c r="V69" s="17"/>
      <c r="W69" s="17"/>
      <c r="X69" s="17"/>
      <c r="Y69" s="17"/>
      <c r="Z69" s="17"/>
      <c r="AA69" s="17"/>
    </row>
    <row r="70" spans="2:27" ht="12.75" hidden="1">
      <c r="B70" s="268"/>
      <c r="C70" s="269" t="s">
        <v>147</v>
      </c>
      <c r="D70" s="251"/>
      <c r="E70" s="246"/>
      <c r="F70" s="246"/>
      <c r="G70" s="246"/>
      <c r="H70" s="270"/>
      <c r="I70" s="271"/>
      <c r="J70" s="271"/>
      <c r="K70" s="272"/>
      <c r="L70" s="270"/>
      <c r="M70" s="271"/>
      <c r="N70" s="271"/>
      <c r="O70" s="321"/>
      <c r="P70" s="270"/>
      <c r="Q70" s="271"/>
      <c r="R70" s="272"/>
      <c r="S70" s="272"/>
      <c r="T70" s="17"/>
      <c r="U70" s="17"/>
      <c r="V70" s="17"/>
      <c r="W70" s="17"/>
      <c r="X70" s="17"/>
      <c r="Y70" s="17"/>
      <c r="Z70" s="17"/>
      <c r="AA70" s="17"/>
    </row>
    <row r="71" spans="2:27" ht="12.75" hidden="1">
      <c r="B71" s="224" t="s">
        <v>40</v>
      </c>
      <c r="C71" s="273" t="s">
        <v>18</v>
      </c>
      <c r="D71" s="274">
        <v>550</v>
      </c>
      <c r="E71" s="275">
        <v>550</v>
      </c>
      <c r="F71" s="275">
        <v>550</v>
      </c>
      <c r="G71" s="275">
        <v>550</v>
      </c>
      <c r="H71" s="251">
        <v>630</v>
      </c>
      <c r="I71" s="246">
        <v>630</v>
      </c>
      <c r="J71" s="246">
        <v>630</v>
      </c>
      <c r="K71" s="248">
        <v>630</v>
      </c>
      <c r="L71" s="251">
        <v>630</v>
      </c>
      <c r="M71" s="246">
        <v>630</v>
      </c>
      <c r="N71" s="246">
        <v>630</v>
      </c>
      <c r="O71" s="322">
        <v>630</v>
      </c>
      <c r="P71" s="251">
        <v>630</v>
      </c>
      <c r="Q71" s="246">
        <v>630</v>
      </c>
      <c r="R71" s="248">
        <v>630</v>
      </c>
      <c r="S71" s="248">
        <v>630</v>
      </c>
      <c r="T71" s="17"/>
      <c r="U71" s="17"/>
      <c r="V71" s="17"/>
      <c r="W71" s="17"/>
      <c r="X71" s="17"/>
      <c r="Y71" s="17"/>
      <c r="Z71" s="17"/>
      <c r="AA71" s="17"/>
    </row>
    <row r="72" spans="2:27" ht="12.75" hidden="1">
      <c r="B72" s="224" t="s">
        <v>41</v>
      </c>
      <c r="C72" s="273" t="s">
        <v>148</v>
      </c>
      <c r="D72" s="251">
        <v>80</v>
      </c>
      <c r="E72" s="246">
        <v>80</v>
      </c>
      <c r="F72" s="246">
        <v>80</v>
      </c>
      <c r="G72" s="246">
        <v>80</v>
      </c>
      <c r="H72" s="251">
        <v>80</v>
      </c>
      <c r="I72" s="246">
        <v>80</v>
      </c>
      <c r="J72" s="246">
        <v>80</v>
      </c>
      <c r="K72" s="248">
        <v>80</v>
      </c>
      <c r="L72" s="251">
        <v>80</v>
      </c>
      <c r="M72" s="246">
        <v>80</v>
      </c>
      <c r="N72" s="246">
        <v>80</v>
      </c>
      <c r="O72" s="322">
        <v>80</v>
      </c>
      <c r="P72" s="251">
        <v>80</v>
      </c>
      <c r="Q72" s="246">
        <v>80</v>
      </c>
      <c r="R72" s="248">
        <v>80</v>
      </c>
      <c r="S72" s="248">
        <v>80</v>
      </c>
      <c r="T72" s="17"/>
      <c r="U72" s="17"/>
      <c r="V72" s="17"/>
      <c r="W72" s="17"/>
      <c r="X72" s="17"/>
      <c r="Y72" s="17"/>
      <c r="Z72" s="17"/>
      <c r="AA72" s="17"/>
    </row>
    <row r="73" spans="2:27" ht="12.75" hidden="1">
      <c r="B73" s="224" t="s">
        <v>132</v>
      </c>
      <c r="C73" s="273" t="s">
        <v>15</v>
      </c>
      <c r="D73" s="251">
        <v>95</v>
      </c>
      <c r="E73" s="246">
        <v>95</v>
      </c>
      <c r="F73" s="246">
        <v>95</v>
      </c>
      <c r="G73" s="246">
        <v>95</v>
      </c>
      <c r="H73" s="251">
        <v>95</v>
      </c>
      <c r="I73" s="246">
        <v>95</v>
      </c>
      <c r="J73" s="246">
        <v>95</v>
      </c>
      <c r="K73" s="248">
        <v>95</v>
      </c>
      <c r="L73" s="251">
        <v>95</v>
      </c>
      <c r="M73" s="246">
        <v>95</v>
      </c>
      <c r="N73" s="246">
        <v>95</v>
      </c>
      <c r="O73" s="322">
        <v>95</v>
      </c>
      <c r="P73" s="251">
        <v>95</v>
      </c>
      <c r="Q73" s="246">
        <v>95</v>
      </c>
      <c r="R73" s="248">
        <v>95</v>
      </c>
      <c r="S73" s="248">
        <v>95</v>
      </c>
      <c r="T73" s="17"/>
      <c r="U73" s="17"/>
      <c r="V73" s="17"/>
      <c r="W73" s="17"/>
      <c r="X73" s="17"/>
      <c r="Y73" s="17"/>
      <c r="Z73" s="17"/>
      <c r="AA73" s="17"/>
    </row>
    <row r="74" spans="2:27" ht="12.75" hidden="1">
      <c r="B74" s="224" t="s">
        <v>134</v>
      </c>
      <c r="C74" s="273" t="s">
        <v>16</v>
      </c>
      <c r="D74" s="251">
        <v>160</v>
      </c>
      <c r="E74" s="246">
        <v>160</v>
      </c>
      <c r="F74" s="246">
        <v>160</v>
      </c>
      <c r="G74" s="246">
        <v>160</v>
      </c>
      <c r="H74" s="251">
        <v>160</v>
      </c>
      <c r="I74" s="246">
        <v>160</v>
      </c>
      <c r="J74" s="246">
        <v>160</v>
      </c>
      <c r="K74" s="248">
        <v>160</v>
      </c>
      <c r="L74" s="251">
        <v>160</v>
      </c>
      <c r="M74" s="246">
        <v>160</v>
      </c>
      <c r="N74" s="246">
        <v>160</v>
      </c>
      <c r="O74" s="322">
        <v>160</v>
      </c>
      <c r="P74" s="251">
        <v>160</v>
      </c>
      <c r="Q74" s="246">
        <v>160</v>
      </c>
      <c r="R74" s="248">
        <v>160</v>
      </c>
      <c r="S74" s="248">
        <v>160</v>
      </c>
      <c r="T74" s="17"/>
      <c r="U74" s="17"/>
      <c r="V74" s="17"/>
      <c r="W74" s="17"/>
      <c r="X74" s="17"/>
      <c r="Y74" s="17"/>
      <c r="Z74" s="17"/>
      <c r="AA74" s="17"/>
    </row>
    <row r="75" spans="2:27" ht="12.75" hidden="1">
      <c r="B75" s="277" t="s">
        <v>136</v>
      </c>
      <c r="C75" s="278" t="s">
        <v>149</v>
      </c>
      <c r="D75" s="251">
        <v>300</v>
      </c>
      <c r="E75" s="246">
        <v>300</v>
      </c>
      <c r="F75" s="246">
        <v>300</v>
      </c>
      <c r="G75" s="246">
        <v>300</v>
      </c>
      <c r="H75" s="251">
        <v>300</v>
      </c>
      <c r="I75" s="246">
        <v>300</v>
      </c>
      <c r="J75" s="246">
        <v>300</v>
      </c>
      <c r="K75" s="248">
        <v>300</v>
      </c>
      <c r="L75" s="251">
        <v>300</v>
      </c>
      <c r="M75" s="246">
        <v>300</v>
      </c>
      <c r="N75" s="246">
        <v>300</v>
      </c>
      <c r="O75" s="322">
        <v>300</v>
      </c>
      <c r="P75" s="251">
        <v>300</v>
      </c>
      <c r="Q75" s="246">
        <v>300</v>
      </c>
      <c r="R75" s="248">
        <v>300</v>
      </c>
      <c r="S75" s="248">
        <v>300</v>
      </c>
      <c r="T75" s="17"/>
      <c r="U75" s="17"/>
      <c r="V75" s="17"/>
      <c r="W75" s="17"/>
      <c r="X75" s="17"/>
      <c r="Y75" s="17"/>
      <c r="Z75" s="17"/>
      <c r="AA75" s="17"/>
    </row>
    <row r="76" spans="2:27" ht="26.25" hidden="1" thickBot="1">
      <c r="B76" s="285">
        <v>4</v>
      </c>
      <c r="C76" s="286" t="s">
        <v>150</v>
      </c>
      <c r="D76" s="323">
        <f aca="true" t="shared" si="6" ref="D76:S76">+D71*0.95+SUM(D72:D75)*0.9</f>
        <v>1094</v>
      </c>
      <c r="E76" s="324">
        <f t="shared" si="6"/>
        <v>1094</v>
      </c>
      <c r="F76" s="324">
        <f t="shared" si="6"/>
        <v>1094</v>
      </c>
      <c r="G76" s="324">
        <f t="shared" si="6"/>
        <v>1094</v>
      </c>
      <c r="H76" s="323">
        <f t="shared" si="6"/>
        <v>1170</v>
      </c>
      <c r="I76" s="324">
        <f t="shared" si="6"/>
        <v>1170</v>
      </c>
      <c r="J76" s="324">
        <f t="shared" si="6"/>
        <v>1170</v>
      </c>
      <c r="K76" s="324">
        <f t="shared" si="6"/>
        <v>1170</v>
      </c>
      <c r="L76" s="323">
        <f t="shared" si="6"/>
        <v>1170</v>
      </c>
      <c r="M76" s="324">
        <f t="shared" si="6"/>
        <v>1170</v>
      </c>
      <c r="N76" s="324">
        <f t="shared" si="6"/>
        <v>1170</v>
      </c>
      <c r="O76" s="324">
        <f t="shared" si="6"/>
        <v>1170</v>
      </c>
      <c r="P76" s="323">
        <f t="shared" si="6"/>
        <v>1170</v>
      </c>
      <c r="Q76" s="324">
        <f t="shared" si="6"/>
        <v>1170</v>
      </c>
      <c r="R76" s="324">
        <f t="shared" si="6"/>
        <v>1170</v>
      </c>
      <c r="S76" s="324">
        <f t="shared" si="6"/>
        <v>1170</v>
      </c>
      <c r="T76" s="17"/>
      <c r="U76" s="17"/>
      <c r="V76" s="17"/>
      <c r="W76" s="17"/>
      <c r="X76" s="17"/>
      <c r="Y76" s="17"/>
      <c r="Z76" s="17"/>
      <c r="AA76" s="17"/>
    </row>
    <row r="77" spans="2:27" ht="12.75" hidden="1">
      <c r="B77" s="290"/>
      <c r="C77" s="291" t="s">
        <v>151</v>
      </c>
      <c r="D77" s="292"/>
      <c r="E77" s="293"/>
      <c r="F77" s="293"/>
      <c r="G77" s="294"/>
      <c r="H77" s="292"/>
      <c r="I77" s="293"/>
      <c r="J77" s="293"/>
      <c r="K77" s="294"/>
      <c r="L77" s="292"/>
      <c r="M77" s="293"/>
      <c r="N77" s="293"/>
      <c r="O77" s="325"/>
      <c r="P77" s="292"/>
      <c r="Q77" s="293"/>
      <c r="R77" s="294"/>
      <c r="S77" s="294"/>
      <c r="T77" s="17"/>
      <c r="U77" s="17"/>
      <c r="V77" s="17"/>
      <c r="W77" s="17"/>
      <c r="X77" s="17"/>
      <c r="Y77" s="17"/>
      <c r="Z77" s="17"/>
      <c r="AA77" s="17"/>
    </row>
    <row r="78" spans="2:27" ht="12.75" hidden="1">
      <c r="B78" s="224" t="s">
        <v>40</v>
      </c>
      <c r="C78" s="295" t="s">
        <v>152</v>
      </c>
      <c r="D78" s="251">
        <v>1611</v>
      </c>
      <c r="E78" s="246">
        <v>1855</v>
      </c>
      <c r="F78" s="246">
        <v>1611</v>
      </c>
      <c r="G78" s="246">
        <v>1855</v>
      </c>
      <c r="H78" s="251">
        <v>1611</v>
      </c>
      <c r="I78" s="246">
        <v>1855</v>
      </c>
      <c r="J78" s="246">
        <v>1611</v>
      </c>
      <c r="K78" s="248">
        <v>1855</v>
      </c>
      <c r="L78" s="251">
        <v>1611</v>
      </c>
      <c r="M78" s="246">
        <v>1855</v>
      </c>
      <c r="N78" s="246">
        <v>1611</v>
      </c>
      <c r="O78" s="322">
        <v>1855</v>
      </c>
      <c r="P78" s="251">
        <v>1611</v>
      </c>
      <c r="Q78" s="246">
        <v>1855</v>
      </c>
      <c r="R78" s="248">
        <v>1611</v>
      </c>
      <c r="S78" s="248">
        <v>1855</v>
      </c>
      <c r="T78" s="17"/>
      <c r="U78" s="17"/>
      <c r="V78" s="17"/>
      <c r="W78" s="17"/>
      <c r="X78" s="17"/>
      <c r="Y78" s="17"/>
      <c r="Z78" s="17"/>
      <c r="AA78" s="17"/>
    </row>
    <row r="79" spans="2:27" ht="12.75" hidden="1">
      <c r="B79" s="277" t="s">
        <v>41</v>
      </c>
      <c r="C79" s="296" t="s">
        <v>153</v>
      </c>
      <c r="D79" s="279">
        <v>80</v>
      </c>
      <c r="E79" s="280">
        <v>85</v>
      </c>
      <c r="F79" s="280">
        <v>80</v>
      </c>
      <c r="G79" s="280">
        <v>85</v>
      </c>
      <c r="H79" s="279">
        <v>80</v>
      </c>
      <c r="I79" s="280">
        <v>85</v>
      </c>
      <c r="J79" s="280">
        <v>80</v>
      </c>
      <c r="K79" s="281">
        <v>85</v>
      </c>
      <c r="L79" s="279">
        <v>80</v>
      </c>
      <c r="M79" s="280">
        <v>85</v>
      </c>
      <c r="N79" s="280">
        <v>80</v>
      </c>
      <c r="O79" s="326">
        <v>85</v>
      </c>
      <c r="P79" s="279">
        <v>80</v>
      </c>
      <c r="Q79" s="280">
        <v>85</v>
      </c>
      <c r="R79" s="281">
        <v>80</v>
      </c>
      <c r="S79" s="281">
        <v>85</v>
      </c>
      <c r="T79" s="17"/>
      <c r="U79" s="17"/>
      <c r="V79" s="17"/>
      <c r="W79" s="17"/>
      <c r="X79" s="17"/>
      <c r="Y79" s="17"/>
      <c r="Z79" s="17"/>
      <c r="AA79" s="17"/>
    </row>
    <row r="80" spans="2:27" ht="13.5" hidden="1" thickBot="1">
      <c r="B80" s="285">
        <v>5</v>
      </c>
      <c r="C80" s="297" t="s">
        <v>21</v>
      </c>
      <c r="D80" s="298">
        <f aca="true" t="shared" si="7" ref="D80:S80">SUM(D78:D79)</f>
        <v>1691</v>
      </c>
      <c r="E80" s="299">
        <f t="shared" si="7"/>
        <v>1940</v>
      </c>
      <c r="F80" s="299">
        <f t="shared" si="7"/>
        <v>1691</v>
      </c>
      <c r="G80" s="300">
        <f t="shared" si="7"/>
        <v>1940</v>
      </c>
      <c r="H80" s="298">
        <f t="shared" si="7"/>
        <v>1691</v>
      </c>
      <c r="I80" s="299">
        <f t="shared" si="7"/>
        <v>1940</v>
      </c>
      <c r="J80" s="299">
        <f t="shared" si="7"/>
        <v>1691</v>
      </c>
      <c r="K80" s="300">
        <f t="shared" si="7"/>
        <v>1940</v>
      </c>
      <c r="L80" s="298">
        <f t="shared" si="7"/>
        <v>1691</v>
      </c>
      <c r="M80" s="299">
        <f t="shared" si="7"/>
        <v>1940</v>
      </c>
      <c r="N80" s="299">
        <f t="shared" si="7"/>
        <v>1691</v>
      </c>
      <c r="O80" s="327">
        <f t="shared" si="7"/>
        <v>1940</v>
      </c>
      <c r="P80" s="298">
        <f t="shared" si="7"/>
        <v>1691</v>
      </c>
      <c r="Q80" s="299">
        <f t="shared" si="7"/>
        <v>1940</v>
      </c>
      <c r="R80" s="300">
        <f t="shared" si="7"/>
        <v>1691</v>
      </c>
      <c r="S80" s="300">
        <f t="shared" si="7"/>
        <v>1940</v>
      </c>
      <c r="T80" s="17"/>
      <c r="U80" s="17"/>
      <c r="V80" s="17"/>
      <c r="W80" s="17"/>
      <c r="X80" s="17"/>
      <c r="Y80" s="17"/>
      <c r="Z80" s="17"/>
      <c r="AA80" s="17"/>
    </row>
    <row r="81" spans="2:27" ht="12.75" hidden="1">
      <c r="B81" s="301"/>
      <c r="C81" s="302" t="s">
        <v>154</v>
      </c>
      <c r="D81" s="292"/>
      <c r="E81" s="293"/>
      <c r="F81" s="293"/>
      <c r="G81" s="294"/>
      <c r="H81" s="292"/>
      <c r="I81" s="293"/>
      <c r="J81" s="293"/>
      <c r="K81" s="294"/>
      <c r="L81" s="292"/>
      <c r="M81" s="293"/>
      <c r="N81" s="293"/>
      <c r="O81" s="325"/>
      <c r="P81" s="292"/>
      <c r="Q81" s="293"/>
      <c r="R81" s="294"/>
      <c r="S81" s="294"/>
      <c r="T81" s="17"/>
      <c r="U81" s="17"/>
      <c r="V81" s="17"/>
      <c r="W81" s="17"/>
      <c r="X81" s="17"/>
      <c r="Y81" s="17"/>
      <c r="Z81" s="17"/>
      <c r="AA81" s="17"/>
    </row>
    <row r="82" spans="2:27" ht="12.75" hidden="1">
      <c r="B82" s="224" t="s">
        <v>40</v>
      </c>
      <c r="C82" s="303" t="s">
        <v>29</v>
      </c>
      <c r="D82" s="251">
        <v>92</v>
      </c>
      <c r="E82" s="246">
        <v>92</v>
      </c>
      <c r="F82" s="246">
        <v>92</v>
      </c>
      <c r="G82" s="248">
        <v>92</v>
      </c>
      <c r="H82" s="251">
        <v>92</v>
      </c>
      <c r="I82" s="246">
        <v>92</v>
      </c>
      <c r="J82" s="246">
        <v>92</v>
      </c>
      <c r="K82" s="248">
        <v>92</v>
      </c>
      <c r="L82" s="251">
        <v>92</v>
      </c>
      <c r="M82" s="246">
        <v>92</v>
      </c>
      <c r="N82" s="246">
        <v>92</v>
      </c>
      <c r="O82" s="322">
        <v>92</v>
      </c>
      <c r="P82" s="251">
        <v>92</v>
      </c>
      <c r="Q82" s="246">
        <v>92</v>
      </c>
      <c r="R82" s="248">
        <v>92</v>
      </c>
      <c r="S82" s="248">
        <v>92</v>
      </c>
      <c r="T82" s="17"/>
      <c r="U82" s="17"/>
      <c r="V82" s="17"/>
      <c r="W82" s="17"/>
      <c r="X82" s="17"/>
      <c r="Y82" s="17"/>
      <c r="Z82" s="17"/>
      <c r="AA82" s="17"/>
    </row>
    <row r="83" spans="2:27" ht="12.75" hidden="1">
      <c r="B83" s="277" t="s">
        <v>41</v>
      </c>
      <c r="C83" s="304" t="s">
        <v>155</v>
      </c>
      <c r="D83" s="279">
        <v>0</v>
      </c>
      <c r="E83" s="280">
        <v>82</v>
      </c>
      <c r="F83" s="280">
        <v>0</v>
      </c>
      <c r="G83" s="281">
        <v>0</v>
      </c>
      <c r="H83" s="279">
        <v>0</v>
      </c>
      <c r="I83" s="280">
        <v>82</v>
      </c>
      <c r="J83" s="280">
        <v>0</v>
      </c>
      <c r="K83" s="281">
        <v>0</v>
      </c>
      <c r="L83" s="279">
        <v>0</v>
      </c>
      <c r="M83" s="280">
        <v>82</v>
      </c>
      <c r="N83" s="280">
        <v>0</v>
      </c>
      <c r="O83" s="326">
        <v>0</v>
      </c>
      <c r="P83" s="279">
        <v>0</v>
      </c>
      <c r="Q83" s="280">
        <v>82</v>
      </c>
      <c r="R83" s="281">
        <v>0</v>
      </c>
      <c r="S83" s="281">
        <v>0</v>
      </c>
      <c r="T83" s="17"/>
      <c r="U83" s="17"/>
      <c r="V83" s="17"/>
      <c r="W83" s="17"/>
      <c r="X83" s="17"/>
      <c r="Y83" s="17"/>
      <c r="Z83" s="17"/>
      <c r="AA83" s="17"/>
    </row>
    <row r="84" spans="2:27" ht="13.5" hidden="1" thickBot="1">
      <c r="B84" s="285">
        <v>6</v>
      </c>
      <c r="C84" s="286" t="s">
        <v>156</v>
      </c>
      <c r="D84" s="305">
        <f aca="true" t="shared" si="8" ref="D84:K84">+SUM(D82:D83)</f>
        <v>92</v>
      </c>
      <c r="E84" s="306">
        <f t="shared" si="8"/>
        <v>174</v>
      </c>
      <c r="F84" s="306">
        <f t="shared" si="8"/>
        <v>92</v>
      </c>
      <c r="G84" s="307">
        <f t="shared" si="8"/>
        <v>92</v>
      </c>
      <c r="H84" s="305">
        <f t="shared" si="8"/>
        <v>92</v>
      </c>
      <c r="I84" s="306">
        <f t="shared" si="8"/>
        <v>174</v>
      </c>
      <c r="J84" s="306">
        <f t="shared" si="8"/>
        <v>92</v>
      </c>
      <c r="K84" s="307">
        <f t="shared" si="8"/>
        <v>92</v>
      </c>
      <c r="L84" s="305">
        <f aca="true" t="shared" si="9" ref="L84:S84">SUM(L82:L83)</f>
        <v>92</v>
      </c>
      <c r="M84" s="306">
        <f t="shared" si="9"/>
        <v>174</v>
      </c>
      <c r="N84" s="306">
        <f t="shared" si="9"/>
        <v>92</v>
      </c>
      <c r="O84" s="328">
        <f t="shared" si="9"/>
        <v>92</v>
      </c>
      <c r="P84" s="305">
        <f t="shared" si="9"/>
        <v>92</v>
      </c>
      <c r="Q84" s="306">
        <f t="shared" si="9"/>
        <v>174</v>
      </c>
      <c r="R84" s="307">
        <f t="shared" si="9"/>
        <v>92</v>
      </c>
      <c r="S84" s="307">
        <f t="shared" si="9"/>
        <v>92</v>
      </c>
      <c r="T84" s="17"/>
      <c r="U84" s="17"/>
      <c r="V84" s="17"/>
      <c r="W84" s="17"/>
      <c r="X84" s="17"/>
      <c r="Y84" s="17"/>
      <c r="Z84" s="17"/>
      <c r="AA84" s="17"/>
    </row>
    <row r="85" spans="2:27" ht="13.5" hidden="1" thickBot="1">
      <c r="B85" s="308">
        <v>7</v>
      </c>
      <c r="C85" s="309" t="s">
        <v>157</v>
      </c>
      <c r="D85" s="310">
        <f aca="true" t="shared" si="10" ref="D85:S85">+D76+D80+D84</f>
        <v>2877</v>
      </c>
      <c r="E85" s="311">
        <f t="shared" si="10"/>
        <v>3208</v>
      </c>
      <c r="F85" s="311">
        <f t="shared" si="10"/>
        <v>2877</v>
      </c>
      <c r="G85" s="312">
        <f t="shared" si="10"/>
        <v>3126</v>
      </c>
      <c r="H85" s="310">
        <f t="shared" si="10"/>
        <v>2953</v>
      </c>
      <c r="I85" s="311">
        <f t="shared" si="10"/>
        <v>3284</v>
      </c>
      <c r="J85" s="311">
        <f t="shared" si="10"/>
        <v>2953</v>
      </c>
      <c r="K85" s="312">
        <f t="shared" si="10"/>
        <v>3202</v>
      </c>
      <c r="L85" s="310">
        <f t="shared" si="10"/>
        <v>2953</v>
      </c>
      <c r="M85" s="311">
        <f t="shared" si="10"/>
        <v>3284</v>
      </c>
      <c r="N85" s="311">
        <f t="shared" si="10"/>
        <v>2953</v>
      </c>
      <c r="O85" s="329">
        <f t="shared" si="10"/>
        <v>3202</v>
      </c>
      <c r="P85" s="310">
        <f t="shared" si="10"/>
        <v>2953</v>
      </c>
      <c r="Q85" s="311">
        <f t="shared" si="10"/>
        <v>3284</v>
      </c>
      <c r="R85" s="312">
        <f t="shared" si="10"/>
        <v>2953</v>
      </c>
      <c r="S85" s="312">
        <f t="shared" si="10"/>
        <v>3202</v>
      </c>
      <c r="T85" s="17"/>
      <c r="U85" s="17"/>
      <c r="V85" s="17"/>
      <c r="W85" s="17"/>
      <c r="X85" s="17"/>
      <c r="Y85" s="17"/>
      <c r="Z85" s="17"/>
      <c r="AA85" s="17"/>
    </row>
    <row r="86" spans="2:27" ht="3.75" customHeight="1" hidden="1" thickBot="1">
      <c r="B86" s="176">
        <v>8</v>
      </c>
      <c r="C86" s="314" t="s">
        <v>158</v>
      </c>
      <c r="D86" s="315">
        <f aca="true" t="shared" si="11" ref="D86:S86">+D85-D69</f>
        <v>817</v>
      </c>
      <c r="E86" s="316">
        <f t="shared" si="11"/>
        <v>158</v>
      </c>
      <c r="F86" s="316">
        <f t="shared" si="11"/>
        <v>177</v>
      </c>
      <c r="G86" s="319">
        <f t="shared" si="11"/>
        <v>226</v>
      </c>
      <c r="H86" s="315">
        <f t="shared" si="11"/>
        <v>903</v>
      </c>
      <c r="I86" s="316">
        <f t="shared" si="11"/>
        <v>34</v>
      </c>
      <c r="J86" s="316">
        <f t="shared" si="11"/>
        <v>153</v>
      </c>
      <c r="K86" s="319">
        <f t="shared" si="11"/>
        <v>52</v>
      </c>
      <c r="L86" s="315">
        <f t="shared" si="11"/>
        <v>703</v>
      </c>
      <c r="M86" s="318">
        <f t="shared" si="11"/>
        <v>-116</v>
      </c>
      <c r="N86" s="316">
        <f t="shared" si="11"/>
        <v>153</v>
      </c>
      <c r="O86" s="330">
        <f t="shared" si="11"/>
        <v>52</v>
      </c>
      <c r="P86" s="315">
        <f t="shared" si="11"/>
        <v>703</v>
      </c>
      <c r="Q86" s="318">
        <f t="shared" si="11"/>
        <v>-66</v>
      </c>
      <c r="R86" s="331">
        <f t="shared" si="11"/>
        <v>153</v>
      </c>
      <c r="S86" s="317">
        <f t="shared" si="11"/>
        <v>-248</v>
      </c>
      <c r="T86" s="17"/>
      <c r="U86" s="17"/>
      <c r="V86" s="17"/>
      <c r="W86" s="17"/>
      <c r="X86" s="17"/>
      <c r="Y86" s="17"/>
      <c r="Z86" s="17"/>
      <c r="AA86" s="17"/>
    </row>
    <row r="87" spans="2:27" ht="12.75" hidden="1">
      <c r="B87" s="17"/>
      <c r="C87" s="17" t="s">
        <v>101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2:27" ht="12.75" hidden="1">
      <c r="B88" s="17">
        <v>1</v>
      </c>
      <c r="C88" s="128" t="s">
        <v>159</v>
      </c>
      <c r="D88" s="12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2:27" ht="12.75" hidden="1">
      <c r="B89" s="18" t="s">
        <v>160</v>
      </c>
      <c r="C89" s="129" t="s">
        <v>161</v>
      </c>
      <c r="D89" s="129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2:27" ht="12.75" hidden="1">
      <c r="B90" s="18" t="s">
        <v>162</v>
      </c>
      <c r="C90" s="129" t="s">
        <v>163</v>
      </c>
      <c r="D90" s="129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2:27" ht="12.75" hidden="1">
      <c r="B91" s="17">
        <v>4</v>
      </c>
      <c r="C91" s="129" t="s">
        <v>168</v>
      </c>
      <c r="D91" s="129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2:27" ht="12.75" hidden="1">
      <c r="B92" s="17"/>
      <c r="C92" s="129"/>
      <c r="D92" s="12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2:27" ht="12.75" hidden="1">
      <c r="B93" s="17"/>
      <c r="C93" s="129"/>
      <c r="D93" s="129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3:6" ht="18" hidden="1">
      <c r="C94" s="110" t="s">
        <v>169</v>
      </c>
      <c r="F94" s="110"/>
    </row>
    <row r="95" spans="3:4" ht="15" hidden="1">
      <c r="C95" s="111" t="s">
        <v>121</v>
      </c>
      <c r="D95" s="111"/>
    </row>
    <row r="96" ht="6.75" customHeight="1" hidden="1"/>
    <row r="97" spans="3:26" ht="12.75" hidden="1">
      <c r="C97" s="62" t="s">
        <v>170</v>
      </c>
      <c r="D97" s="62"/>
      <c r="Q97" s="112" t="s">
        <v>122</v>
      </c>
      <c r="Z97" s="112"/>
    </row>
    <row r="98" ht="12" customHeight="1" hidden="1">
      <c r="O98" t="s">
        <v>123</v>
      </c>
    </row>
    <row r="99" spans="2:19" ht="13.5" customHeight="1" hidden="1" thickBot="1">
      <c r="B99" s="63" t="s">
        <v>37</v>
      </c>
      <c r="C99" s="332" t="s">
        <v>38</v>
      </c>
      <c r="D99" s="448" t="s">
        <v>171</v>
      </c>
      <c r="E99" s="471"/>
      <c r="F99" s="471"/>
      <c r="G99" s="471"/>
      <c r="H99" s="471"/>
      <c r="I99" s="471"/>
      <c r="J99" s="471"/>
      <c r="K99" s="472"/>
      <c r="L99" s="454" t="s">
        <v>172</v>
      </c>
      <c r="M99" s="471"/>
      <c r="N99" s="471"/>
      <c r="O99" s="471"/>
      <c r="P99" s="471"/>
      <c r="Q99" s="471"/>
      <c r="R99" s="471"/>
      <c r="S99" s="472"/>
    </row>
    <row r="100" spans="2:19" ht="13.5" customHeight="1" hidden="1" thickBot="1">
      <c r="B100" s="333" t="s">
        <v>39</v>
      </c>
      <c r="C100" s="334"/>
      <c r="D100" s="473" t="s">
        <v>180</v>
      </c>
      <c r="E100" s="471"/>
      <c r="F100" s="471"/>
      <c r="G100" s="472"/>
      <c r="H100" s="473" t="s">
        <v>179</v>
      </c>
      <c r="I100" s="471"/>
      <c r="J100" s="471"/>
      <c r="K100" s="472"/>
      <c r="L100" s="473" t="s">
        <v>178</v>
      </c>
      <c r="M100" s="471"/>
      <c r="N100" s="471"/>
      <c r="O100" s="472"/>
      <c r="P100" s="473" t="s">
        <v>179</v>
      </c>
      <c r="Q100" s="471"/>
      <c r="R100" s="471"/>
      <c r="S100" s="472"/>
    </row>
    <row r="101" spans="2:19" s="237" customFormat="1" ht="23.25" hidden="1" thickBot="1">
      <c r="B101" s="335"/>
      <c r="C101" s="64"/>
      <c r="D101" s="234" t="s">
        <v>125</v>
      </c>
      <c r="E101" s="235" t="s">
        <v>126</v>
      </c>
      <c r="F101" s="235" t="s">
        <v>127</v>
      </c>
      <c r="G101" s="236" t="s">
        <v>128</v>
      </c>
      <c r="H101" s="234" t="s">
        <v>125</v>
      </c>
      <c r="I101" s="235" t="s">
        <v>126</v>
      </c>
      <c r="J101" s="235" t="s">
        <v>127</v>
      </c>
      <c r="K101" s="236" t="s">
        <v>128</v>
      </c>
      <c r="L101" s="234" t="s">
        <v>125</v>
      </c>
      <c r="M101" s="235" t="s">
        <v>126</v>
      </c>
      <c r="N101" s="235" t="s">
        <v>127</v>
      </c>
      <c r="O101" s="236" t="s">
        <v>128</v>
      </c>
      <c r="P101" s="234" t="s">
        <v>125</v>
      </c>
      <c r="Q101" s="235" t="s">
        <v>126</v>
      </c>
      <c r="R101" s="235" t="s">
        <v>127</v>
      </c>
      <c r="S101" s="236" t="s">
        <v>128</v>
      </c>
    </row>
    <row r="102" spans="2:19" ht="12.75" hidden="1">
      <c r="B102" s="336">
        <v>1</v>
      </c>
      <c r="C102" s="337" t="s">
        <v>129</v>
      </c>
      <c r="D102" s="240"/>
      <c r="E102" s="241"/>
      <c r="F102" s="242"/>
      <c r="G102" s="243"/>
      <c r="H102" s="240"/>
      <c r="I102" s="241"/>
      <c r="J102" s="242"/>
      <c r="K102" s="243"/>
      <c r="L102" s="465"/>
      <c r="M102" s="241"/>
      <c r="N102" s="468"/>
      <c r="O102" s="243"/>
      <c r="P102" s="465"/>
      <c r="Q102" s="241"/>
      <c r="R102" s="468"/>
      <c r="S102" s="243"/>
    </row>
    <row r="103" spans="2:19" ht="16.5" customHeight="1" hidden="1">
      <c r="B103" s="338" t="s">
        <v>40</v>
      </c>
      <c r="C103" s="339" t="s">
        <v>130</v>
      </c>
      <c r="D103" s="245"/>
      <c r="E103" s="246">
        <v>2762</v>
      </c>
      <c r="F103" s="247"/>
      <c r="G103" s="248">
        <v>2473</v>
      </c>
      <c r="H103" s="245"/>
      <c r="I103" s="246">
        <v>2634</v>
      </c>
      <c r="J103" s="247"/>
      <c r="K103" s="248">
        <v>2375</v>
      </c>
      <c r="L103" s="466"/>
      <c r="M103" s="246">
        <v>2319</v>
      </c>
      <c r="N103" s="469"/>
      <c r="O103" s="248">
        <v>2214</v>
      </c>
      <c r="P103" s="466"/>
      <c r="Q103" s="246">
        <v>2212</v>
      </c>
      <c r="R103" s="469"/>
      <c r="S103" s="248">
        <v>2360</v>
      </c>
    </row>
    <row r="104" spans="2:19" ht="16.5" customHeight="1" hidden="1">
      <c r="B104" s="338" t="s">
        <v>41</v>
      </c>
      <c r="C104" s="339" t="s">
        <v>131</v>
      </c>
      <c r="D104" s="245"/>
      <c r="E104" s="246">
        <v>2931</v>
      </c>
      <c r="F104" s="247"/>
      <c r="G104" s="248">
        <v>2714</v>
      </c>
      <c r="H104" s="245"/>
      <c r="I104" s="246">
        <v>2751</v>
      </c>
      <c r="J104" s="247"/>
      <c r="K104" s="248">
        <v>2452</v>
      </c>
      <c r="L104" s="466"/>
      <c r="M104" s="246">
        <v>2516</v>
      </c>
      <c r="N104" s="469"/>
      <c r="O104" s="248">
        <v>2319</v>
      </c>
      <c r="P104" s="466"/>
      <c r="Q104" s="246">
        <v>2370</v>
      </c>
      <c r="R104" s="469"/>
      <c r="S104" s="248">
        <v>2449</v>
      </c>
    </row>
    <row r="105" spans="2:19" ht="16.5" customHeight="1" hidden="1">
      <c r="B105" s="338" t="s">
        <v>132</v>
      </c>
      <c r="C105" s="339" t="s">
        <v>133</v>
      </c>
      <c r="D105" s="245"/>
      <c r="E105" s="246">
        <v>2960</v>
      </c>
      <c r="F105" s="247"/>
      <c r="G105" s="248">
        <v>2785</v>
      </c>
      <c r="H105" s="245"/>
      <c r="I105" s="246">
        <v>2792</v>
      </c>
      <c r="J105" s="247"/>
      <c r="K105" s="248">
        <v>2536</v>
      </c>
      <c r="L105" s="466"/>
      <c r="M105" s="246">
        <v>2605</v>
      </c>
      <c r="N105" s="469"/>
      <c r="O105" s="248">
        <v>2479</v>
      </c>
      <c r="P105" s="466"/>
      <c r="Q105" s="246">
        <v>2374</v>
      </c>
      <c r="R105" s="469"/>
      <c r="S105" s="248">
        <v>2511</v>
      </c>
    </row>
    <row r="106" spans="2:19" ht="16.5" customHeight="1" hidden="1">
      <c r="B106" s="338" t="s">
        <v>134</v>
      </c>
      <c r="C106" s="339" t="s">
        <v>135</v>
      </c>
      <c r="D106" s="245"/>
      <c r="E106" s="246">
        <v>3000</v>
      </c>
      <c r="F106" s="247"/>
      <c r="G106" s="248">
        <v>2768</v>
      </c>
      <c r="H106" s="245"/>
      <c r="I106" s="246">
        <v>3434</v>
      </c>
      <c r="J106" s="247"/>
      <c r="K106" s="248">
        <v>2660</v>
      </c>
      <c r="L106" s="466"/>
      <c r="M106" s="246">
        <v>2664</v>
      </c>
      <c r="N106" s="469"/>
      <c r="O106" s="248">
        <v>2527</v>
      </c>
      <c r="P106" s="466"/>
      <c r="Q106" s="246">
        <v>2429</v>
      </c>
      <c r="R106" s="469"/>
      <c r="S106" s="248">
        <v>2596</v>
      </c>
    </row>
    <row r="107" spans="2:19" ht="16.5" customHeight="1" hidden="1">
      <c r="B107" s="338" t="s">
        <v>136</v>
      </c>
      <c r="C107" s="339" t="s">
        <v>137</v>
      </c>
      <c r="D107" s="245"/>
      <c r="E107" s="246">
        <v>3213</v>
      </c>
      <c r="F107" s="247"/>
      <c r="G107" s="248">
        <v>3016</v>
      </c>
      <c r="H107" s="245"/>
      <c r="I107" s="246">
        <v>2927</v>
      </c>
      <c r="J107" s="247"/>
      <c r="K107" s="248">
        <v>2683</v>
      </c>
      <c r="L107" s="466"/>
      <c r="M107" s="246">
        <v>2713</v>
      </c>
      <c r="N107" s="469"/>
      <c r="O107" s="248">
        <v>2757</v>
      </c>
      <c r="P107" s="466"/>
      <c r="Q107" s="246">
        <v>2607</v>
      </c>
      <c r="R107" s="469"/>
      <c r="S107" s="248">
        <v>2947</v>
      </c>
    </row>
    <row r="108" spans="2:19" ht="16.5" customHeight="1" hidden="1">
      <c r="B108" s="338" t="s">
        <v>138</v>
      </c>
      <c r="C108" s="339" t="s">
        <v>139</v>
      </c>
      <c r="D108" s="245"/>
      <c r="E108" s="246">
        <v>3138</v>
      </c>
      <c r="F108" s="247"/>
      <c r="G108" s="248">
        <v>2939</v>
      </c>
      <c r="H108" s="245"/>
      <c r="I108" s="246">
        <v>3017</v>
      </c>
      <c r="J108" s="247"/>
      <c r="K108" s="248">
        <v>2738</v>
      </c>
      <c r="L108" s="466"/>
      <c r="M108" s="246">
        <v>2813</v>
      </c>
      <c r="N108" s="469"/>
      <c r="O108" s="248">
        <v>2871</v>
      </c>
      <c r="P108" s="466"/>
      <c r="Q108" s="246">
        <v>2584</v>
      </c>
      <c r="R108" s="469"/>
      <c r="S108" s="248">
        <v>2898</v>
      </c>
    </row>
    <row r="109" spans="2:19" ht="16.5" customHeight="1" hidden="1">
      <c r="B109" s="338" t="s">
        <v>140</v>
      </c>
      <c r="C109" s="339" t="s">
        <v>141</v>
      </c>
      <c r="D109" s="245"/>
      <c r="E109" s="246">
        <v>3086</v>
      </c>
      <c r="F109" s="247"/>
      <c r="G109" s="248">
        <v>2973</v>
      </c>
      <c r="H109" s="245"/>
      <c r="I109" s="246">
        <v>2804</v>
      </c>
      <c r="J109" s="247"/>
      <c r="K109" s="248">
        <v>3075</v>
      </c>
      <c r="L109" s="466"/>
      <c r="M109" s="246">
        <v>2837</v>
      </c>
      <c r="N109" s="469"/>
      <c r="O109" s="248">
        <v>2932</v>
      </c>
      <c r="P109" s="466"/>
      <c r="Q109" s="246">
        <v>2659</v>
      </c>
      <c r="R109" s="469"/>
      <c r="S109" s="248">
        <v>2946</v>
      </c>
    </row>
    <row r="110" spans="2:19" ht="16.5" customHeight="1" hidden="1">
      <c r="B110" s="338" t="s">
        <v>142</v>
      </c>
      <c r="C110" s="339" t="s">
        <v>143</v>
      </c>
      <c r="D110" s="249"/>
      <c r="E110" s="246">
        <v>3021</v>
      </c>
      <c r="F110" s="250"/>
      <c r="G110" s="248">
        <v>2880</v>
      </c>
      <c r="H110" s="249"/>
      <c r="I110" s="246">
        <v>2961</v>
      </c>
      <c r="J110" s="250"/>
      <c r="K110" s="248">
        <v>2918</v>
      </c>
      <c r="L110" s="467"/>
      <c r="M110" s="246">
        <v>2879</v>
      </c>
      <c r="N110" s="470"/>
      <c r="O110" s="248">
        <v>2827</v>
      </c>
      <c r="P110" s="467"/>
      <c r="Q110" s="246">
        <v>2911</v>
      </c>
      <c r="R110" s="470"/>
      <c r="S110" s="248">
        <v>3107</v>
      </c>
    </row>
    <row r="111" spans="2:19" ht="16.5" customHeight="1" hidden="1">
      <c r="B111" s="338" t="s">
        <v>144</v>
      </c>
      <c r="C111" s="339" t="s">
        <v>173</v>
      </c>
      <c r="D111" s="251">
        <v>1834</v>
      </c>
      <c r="E111" s="246">
        <v>3395</v>
      </c>
      <c r="F111" s="246">
        <v>2959</v>
      </c>
      <c r="G111" s="248">
        <v>3135</v>
      </c>
      <c r="H111" s="252">
        <v>1834</v>
      </c>
      <c r="I111" s="246">
        <v>3126</v>
      </c>
      <c r="J111" s="246">
        <v>2959</v>
      </c>
      <c r="K111" s="248">
        <v>2862</v>
      </c>
      <c r="L111" s="251">
        <v>1883</v>
      </c>
      <c r="M111" s="246">
        <v>2754</v>
      </c>
      <c r="N111" s="246">
        <v>2712</v>
      </c>
      <c r="O111" s="248">
        <v>3012</v>
      </c>
      <c r="P111" s="252">
        <v>1883</v>
      </c>
      <c r="Q111" s="246">
        <v>2655</v>
      </c>
      <c r="R111" s="246">
        <v>2712</v>
      </c>
      <c r="S111" s="248">
        <v>3158</v>
      </c>
    </row>
    <row r="112" spans="2:19" ht="28.5" customHeight="1" hidden="1" thickBot="1">
      <c r="B112" s="340">
        <v>2</v>
      </c>
      <c r="C112" s="341" t="s">
        <v>146</v>
      </c>
      <c r="D112" s="259"/>
      <c r="E112" s="256">
        <v>3537.7845553612237</v>
      </c>
      <c r="F112" s="256"/>
      <c r="G112" s="257">
        <v>3227.3207002857425</v>
      </c>
      <c r="H112" s="258"/>
      <c r="I112" s="256">
        <v>3219.1526332316917</v>
      </c>
      <c r="J112" s="256"/>
      <c r="K112" s="257">
        <v>2858.4944300359334</v>
      </c>
      <c r="L112" s="259"/>
      <c r="M112" s="256">
        <v>2734.2955553221254</v>
      </c>
      <c r="N112" s="256"/>
      <c r="O112" s="257">
        <v>3092.2562793984125</v>
      </c>
      <c r="P112" s="258"/>
      <c r="Q112" s="256">
        <v>2655.8342733050704</v>
      </c>
      <c r="R112" s="256"/>
      <c r="S112" s="257">
        <v>3254.1729206165637</v>
      </c>
    </row>
    <row r="113" spans="2:19" s="267" customFormat="1" ht="16.5" customHeight="1" hidden="1" thickBot="1">
      <c r="B113" s="342">
        <v>3</v>
      </c>
      <c r="C113" s="104" t="s">
        <v>90</v>
      </c>
      <c r="D113" s="262">
        <v>1840</v>
      </c>
      <c r="E113" s="263">
        <v>3550</v>
      </c>
      <c r="F113" s="266">
        <v>3000</v>
      </c>
      <c r="G113" s="265">
        <v>3250</v>
      </c>
      <c r="H113" s="266">
        <v>1850</v>
      </c>
      <c r="I113" s="263">
        <v>3200</v>
      </c>
      <c r="J113" s="266">
        <f>+J111*(1+((K113-K112)/K111))</f>
        <v>2950.217673488355</v>
      </c>
      <c r="K113" s="265">
        <v>2850</v>
      </c>
      <c r="L113" s="262">
        <v>1900</v>
      </c>
      <c r="M113" s="263">
        <v>2750</v>
      </c>
      <c r="N113" s="262">
        <v>2700</v>
      </c>
      <c r="O113" s="265">
        <v>3100</v>
      </c>
      <c r="P113" s="266">
        <v>1900</v>
      </c>
      <c r="Q113" s="263">
        <v>2650</v>
      </c>
      <c r="R113" s="266">
        <v>2700</v>
      </c>
      <c r="S113" s="265">
        <v>3250</v>
      </c>
    </row>
    <row r="114" spans="2:32" ht="16.5" customHeight="1" hidden="1">
      <c r="B114" s="268"/>
      <c r="C114" s="269" t="s">
        <v>147</v>
      </c>
      <c r="D114" s="270"/>
      <c r="E114" s="271"/>
      <c r="F114" s="271"/>
      <c r="G114" s="272"/>
      <c r="H114" s="270"/>
      <c r="I114" s="271"/>
      <c r="J114" s="271"/>
      <c r="K114" s="272"/>
      <c r="L114" s="270"/>
      <c r="M114" s="271"/>
      <c r="N114" s="271"/>
      <c r="O114" s="272"/>
      <c r="P114" s="270"/>
      <c r="Q114" s="271"/>
      <c r="R114" s="271"/>
      <c r="S114" s="272"/>
      <c r="AD114" s="1"/>
      <c r="AE114" s="1"/>
      <c r="AF114" s="1"/>
    </row>
    <row r="115" spans="2:32" ht="7.5" customHeight="1" hidden="1">
      <c r="B115" s="224" t="s">
        <v>40</v>
      </c>
      <c r="C115" s="273" t="s">
        <v>18</v>
      </c>
      <c r="D115" s="274">
        <v>550</v>
      </c>
      <c r="E115" s="275">
        <v>550</v>
      </c>
      <c r="F115" s="275">
        <v>550</v>
      </c>
      <c r="G115" s="276">
        <v>550</v>
      </c>
      <c r="H115" s="274">
        <v>630</v>
      </c>
      <c r="I115" s="275">
        <v>630</v>
      </c>
      <c r="J115" s="275">
        <v>630</v>
      </c>
      <c r="K115" s="276">
        <v>630</v>
      </c>
      <c r="L115" s="274">
        <v>630</v>
      </c>
      <c r="M115" s="275">
        <v>630</v>
      </c>
      <c r="N115" s="275">
        <v>630</v>
      </c>
      <c r="O115" s="276">
        <v>630</v>
      </c>
      <c r="P115" s="274">
        <f>630-210*0.88</f>
        <v>445.2</v>
      </c>
      <c r="Q115" s="275">
        <f>630-210*0.88</f>
        <v>445.2</v>
      </c>
      <c r="R115" s="275">
        <f>630-210*0.88</f>
        <v>445.2</v>
      </c>
      <c r="S115" s="276">
        <f>630-210*0.88</f>
        <v>445.2</v>
      </c>
      <c r="AD115" s="343"/>
      <c r="AE115" s="343"/>
      <c r="AF115" s="343"/>
    </row>
    <row r="116" spans="2:32" ht="16.5" customHeight="1" hidden="1">
      <c r="B116" s="224" t="s">
        <v>41</v>
      </c>
      <c r="C116" s="273" t="s">
        <v>148</v>
      </c>
      <c r="D116" s="251">
        <v>80</v>
      </c>
      <c r="E116" s="246">
        <v>80</v>
      </c>
      <c r="F116" s="246">
        <v>80</v>
      </c>
      <c r="G116" s="248">
        <v>80</v>
      </c>
      <c r="H116" s="251">
        <v>80</v>
      </c>
      <c r="I116" s="246">
        <v>80</v>
      </c>
      <c r="J116" s="246">
        <v>80</v>
      </c>
      <c r="K116" s="248">
        <v>80</v>
      </c>
      <c r="L116" s="251">
        <v>80</v>
      </c>
      <c r="M116" s="246">
        <v>80</v>
      </c>
      <c r="N116" s="246">
        <v>80</v>
      </c>
      <c r="O116" s="248">
        <v>80</v>
      </c>
      <c r="P116" s="251">
        <v>80</v>
      </c>
      <c r="Q116" s="246">
        <v>80</v>
      </c>
      <c r="R116" s="246">
        <v>80</v>
      </c>
      <c r="S116" s="248">
        <v>80</v>
      </c>
      <c r="AD116" s="343"/>
      <c r="AE116" s="343"/>
      <c r="AF116" s="343"/>
    </row>
    <row r="117" spans="2:32" ht="16.5" customHeight="1" hidden="1">
      <c r="B117" s="224" t="s">
        <v>132</v>
      </c>
      <c r="C117" s="273" t="s">
        <v>15</v>
      </c>
      <c r="D117" s="251">
        <v>95</v>
      </c>
      <c r="E117" s="246">
        <v>95</v>
      </c>
      <c r="F117" s="246">
        <v>95</v>
      </c>
      <c r="G117" s="248">
        <v>95</v>
      </c>
      <c r="H117" s="251">
        <v>95</v>
      </c>
      <c r="I117" s="246">
        <v>95</v>
      </c>
      <c r="J117" s="246">
        <v>95</v>
      </c>
      <c r="K117" s="248">
        <v>95</v>
      </c>
      <c r="L117" s="251">
        <v>95</v>
      </c>
      <c r="M117" s="246">
        <v>95</v>
      </c>
      <c r="N117" s="246">
        <v>95</v>
      </c>
      <c r="O117" s="248">
        <v>95</v>
      </c>
      <c r="P117" s="274">
        <f>95/2</f>
        <v>47.5</v>
      </c>
      <c r="Q117" s="275">
        <f>95/2</f>
        <v>47.5</v>
      </c>
      <c r="R117" s="275">
        <f>95/2</f>
        <v>47.5</v>
      </c>
      <c r="S117" s="276">
        <f>95/2</f>
        <v>47.5</v>
      </c>
      <c r="AD117" s="343"/>
      <c r="AE117" s="343"/>
      <c r="AF117" s="343"/>
    </row>
    <row r="118" spans="2:32" ht="16.5" customHeight="1" hidden="1">
      <c r="B118" s="224" t="s">
        <v>134</v>
      </c>
      <c r="C118" s="273" t="s">
        <v>16</v>
      </c>
      <c r="D118" s="251">
        <v>160</v>
      </c>
      <c r="E118" s="246">
        <v>160</v>
      </c>
      <c r="F118" s="246">
        <v>160</v>
      </c>
      <c r="G118" s="248">
        <v>160</v>
      </c>
      <c r="H118" s="251">
        <v>160</v>
      </c>
      <c r="I118" s="246">
        <v>160</v>
      </c>
      <c r="J118" s="246">
        <v>160</v>
      </c>
      <c r="K118" s="248">
        <v>160</v>
      </c>
      <c r="L118" s="251">
        <v>160</v>
      </c>
      <c r="M118" s="246">
        <v>160</v>
      </c>
      <c r="N118" s="246">
        <v>160</v>
      </c>
      <c r="O118" s="248">
        <v>160</v>
      </c>
      <c r="P118" s="251">
        <v>160</v>
      </c>
      <c r="Q118" s="246">
        <v>160</v>
      </c>
      <c r="R118" s="246">
        <v>160</v>
      </c>
      <c r="S118" s="248">
        <v>160</v>
      </c>
      <c r="AD118" s="343"/>
      <c r="AE118" s="343"/>
      <c r="AF118" s="343"/>
    </row>
    <row r="119" spans="2:32" ht="14.25" customHeight="1" hidden="1" thickBot="1">
      <c r="B119" s="51" t="s">
        <v>136</v>
      </c>
      <c r="C119" s="344" t="s">
        <v>149</v>
      </c>
      <c r="D119" s="259">
        <v>300</v>
      </c>
      <c r="E119" s="256">
        <v>300</v>
      </c>
      <c r="F119" s="256">
        <v>300</v>
      </c>
      <c r="G119" s="257">
        <v>300</v>
      </c>
      <c r="H119" s="259">
        <v>150</v>
      </c>
      <c r="I119" s="256">
        <v>150</v>
      </c>
      <c r="J119" s="256">
        <v>150</v>
      </c>
      <c r="K119" s="257">
        <v>150</v>
      </c>
      <c r="L119" s="259">
        <v>150</v>
      </c>
      <c r="M119" s="256">
        <v>150</v>
      </c>
      <c r="N119" s="256">
        <v>150</v>
      </c>
      <c r="O119" s="257">
        <v>150</v>
      </c>
      <c r="P119" s="259">
        <v>300</v>
      </c>
      <c r="Q119" s="256">
        <v>300</v>
      </c>
      <c r="R119" s="256">
        <v>300</v>
      </c>
      <c r="S119" s="257">
        <v>300</v>
      </c>
      <c r="AD119" s="343"/>
      <c r="AE119" s="343"/>
      <c r="AF119" s="343"/>
    </row>
    <row r="120" spans="2:32" ht="30" customHeight="1" hidden="1" thickBot="1">
      <c r="B120" s="285">
        <v>4</v>
      </c>
      <c r="C120" s="286" t="s">
        <v>150</v>
      </c>
      <c r="D120" s="323">
        <f aca="true" t="shared" si="12" ref="D120:S120">+D115*0.95+SUM(D116:D119)*0.9</f>
        <v>1094</v>
      </c>
      <c r="E120" s="324">
        <f t="shared" si="12"/>
        <v>1094</v>
      </c>
      <c r="F120" s="324">
        <f t="shared" si="12"/>
        <v>1094</v>
      </c>
      <c r="G120" s="345">
        <f t="shared" si="12"/>
        <v>1094</v>
      </c>
      <c r="H120" s="323">
        <f t="shared" si="12"/>
        <v>1035</v>
      </c>
      <c r="I120" s="324">
        <f t="shared" si="12"/>
        <v>1035</v>
      </c>
      <c r="J120" s="324">
        <f t="shared" si="12"/>
        <v>1035</v>
      </c>
      <c r="K120" s="345">
        <f t="shared" si="12"/>
        <v>1035</v>
      </c>
      <c r="L120" s="323">
        <f t="shared" si="12"/>
        <v>1035</v>
      </c>
      <c r="M120" s="324">
        <f t="shared" si="12"/>
        <v>1035</v>
      </c>
      <c r="N120" s="324">
        <f t="shared" si="12"/>
        <v>1035</v>
      </c>
      <c r="O120" s="345">
        <f t="shared" si="12"/>
        <v>1035</v>
      </c>
      <c r="P120" s="323">
        <f t="shared" si="12"/>
        <v>951.69</v>
      </c>
      <c r="Q120" s="324">
        <f t="shared" si="12"/>
        <v>951.69</v>
      </c>
      <c r="R120" s="324">
        <f t="shared" si="12"/>
        <v>951.69</v>
      </c>
      <c r="S120" s="345">
        <f t="shared" si="12"/>
        <v>951.69</v>
      </c>
      <c r="AD120" s="36"/>
      <c r="AE120" s="36"/>
      <c r="AF120" s="36"/>
    </row>
    <row r="121" spans="2:32" ht="15" customHeight="1" hidden="1">
      <c r="B121" s="238"/>
      <c r="C121" s="269" t="s">
        <v>151</v>
      </c>
      <c r="D121" s="292"/>
      <c r="E121" s="293"/>
      <c r="F121" s="293"/>
      <c r="G121" s="294"/>
      <c r="H121" s="292"/>
      <c r="I121" s="293"/>
      <c r="J121" s="293"/>
      <c r="K121" s="294"/>
      <c r="L121" s="346"/>
      <c r="M121" s="347"/>
      <c r="N121" s="347"/>
      <c r="O121" s="348"/>
      <c r="P121" s="293"/>
      <c r="Q121" s="293"/>
      <c r="R121" s="294"/>
      <c r="S121" s="349"/>
      <c r="AD121" s="36"/>
      <c r="AE121" s="36"/>
      <c r="AF121" s="36"/>
    </row>
    <row r="122" spans="2:19" ht="15.75" customHeight="1" hidden="1">
      <c r="B122" s="224" t="s">
        <v>40</v>
      </c>
      <c r="C122" s="295" t="s">
        <v>152</v>
      </c>
      <c r="D122" s="251">
        <v>1611</v>
      </c>
      <c r="E122" s="246">
        <v>1855</v>
      </c>
      <c r="F122" s="246">
        <v>1611</v>
      </c>
      <c r="G122" s="246">
        <v>1855</v>
      </c>
      <c r="H122" s="251">
        <v>1611</v>
      </c>
      <c r="I122" s="246">
        <v>1855</v>
      </c>
      <c r="J122" s="246">
        <v>1611</v>
      </c>
      <c r="K122" s="246">
        <v>1855</v>
      </c>
      <c r="L122" s="251">
        <f>1611</f>
        <v>1611</v>
      </c>
      <c r="M122" s="246">
        <f>1855</f>
        <v>1855</v>
      </c>
      <c r="N122" s="246">
        <f>1611</f>
        <v>1611</v>
      </c>
      <c r="O122" s="248">
        <f>1855</f>
        <v>1855</v>
      </c>
      <c r="P122" s="275">
        <f>1611</f>
        <v>1611</v>
      </c>
      <c r="Q122" s="275">
        <f>1855</f>
        <v>1855</v>
      </c>
      <c r="R122" s="275">
        <f>1611</f>
        <v>1611</v>
      </c>
      <c r="S122" s="275">
        <f>1855</f>
        <v>1855</v>
      </c>
    </row>
    <row r="123" spans="2:19" ht="12.75" customHeight="1" hidden="1" thickBot="1">
      <c r="B123" s="277" t="s">
        <v>41</v>
      </c>
      <c r="C123" s="350" t="s">
        <v>153</v>
      </c>
      <c r="D123" s="279">
        <v>80</v>
      </c>
      <c r="E123" s="280">
        <v>85</v>
      </c>
      <c r="F123" s="280">
        <v>80</v>
      </c>
      <c r="G123" s="280">
        <v>85</v>
      </c>
      <c r="H123" s="279">
        <v>80</v>
      </c>
      <c r="I123" s="280">
        <v>85</v>
      </c>
      <c r="J123" s="280">
        <v>80</v>
      </c>
      <c r="K123" s="280">
        <v>85</v>
      </c>
      <c r="L123" s="251">
        <v>80</v>
      </c>
      <c r="M123" s="246">
        <v>85</v>
      </c>
      <c r="N123" s="246">
        <v>80</v>
      </c>
      <c r="O123" s="248">
        <v>85</v>
      </c>
      <c r="P123" s="280">
        <v>80</v>
      </c>
      <c r="Q123" s="280">
        <v>85</v>
      </c>
      <c r="R123" s="281">
        <v>80</v>
      </c>
      <c r="S123" s="351">
        <v>85</v>
      </c>
    </row>
    <row r="124" spans="2:19" ht="15.75" customHeight="1" hidden="1" thickBot="1">
      <c r="B124" s="285">
        <v>5</v>
      </c>
      <c r="C124" s="352" t="s">
        <v>21</v>
      </c>
      <c r="D124" s="298">
        <f aca="true" t="shared" si="13" ref="D124:S124">SUM(D122:D123)</f>
        <v>1691</v>
      </c>
      <c r="E124" s="299">
        <f t="shared" si="13"/>
        <v>1940</v>
      </c>
      <c r="F124" s="299">
        <f t="shared" si="13"/>
        <v>1691</v>
      </c>
      <c r="G124" s="300">
        <f t="shared" si="13"/>
        <v>1940</v>
      </c>
      <c r="H124" s="298">
        <f t="shared" si="13"/>
        <v>1691</v>
      </c>
      <c r="I124" s="299">
        <f t="shared" si="13"/>
        <v>1940</v>
      </c>
      <c r="J124" s="299">
        <f t="shared" si="13"/>
        <v>1691</v>
      </c>
      <c r="K124" s="300">
        <f t="shared" si="13"/>
        <v>1940</v>
      </c>
      <c r="L124" s="299">
        <f t="shared" si="13"/>
        <v>1691</v>
      </c>
      <c r="M124" s="299">
        <f t="shared" si="13"/>
        <v>1940</v>
      </c>
      <c r="N124" s="300">
        <f t="shared" si="13"/>
        <v>1691</v>
      </c>
      <c r="O124" s="300">
        <f t="shared" si="13"/>
        <v>1940</v>
      </c>
      <c r="P124" s="299">
        <f t="shared" si="13"/>
        <v>1691</v>
      </c>
      <c r="Q124" s="299">
        <f t="shared" si="13"/>
        <v>1940</v>
      </c>
      <c r="R124" s="300">
        <f t="shared" si="13"/>
        <v>1691</v>
      </c>
      <c r="S124" s="300">
        <f t="shared" si="13"/>
        <v>1940</v>
      </c>
    </row>
    <row r="125" spans="2:19" ht="16.5" customHeight="1" hidden="1">
      <c r="B125" s="301"/>
      <c r="C125" s="302" t="s">
        <v>154</v>
      </c>
      <c r="D125" s="292"/>
      <c r="E125" s="293"/>
      <c r="F125" s="293"/>
      <c r="G125" s="294"/>
      <c r="H125" s="292"/>
      <c r="I125" s="293"/>
      <c r="J125" s="293"/>
      <c r="K125" s="294"/>
      <c r="L125" s="270"/>
      <c r="M125" s="271"/>
      <c r="N125" s="271"/>
      <c r="O125" s="325"/>
      <c r="P125" s="293"/>
      <c r="Q125" s="293"/>
      <c r="R125" s="294"/>
      <c r="S125" s="294"/>
    </row>
    <row r="126" spans="2:19" ht="16.5" customHeight="1" hidden="1">
      <c r="B126" s="277" t="s">
        <v>40</v>
      </c>
      <c r="C126" s="304" t="s">
        <v>29</v>
      </c>
      <c r="D126" s="251">
        <v>92</v>
      </c>
      <c r="E126" s="246">
        <v>92</v>
      </c>
      <c r="F126" s="246">
        <v>92</v>
      </c>
      <c r="G126" s="248">
        <v>92</v>
      </c>
      <c r="H126" s="251">
        <v>92</v>
      </c>
      <c r="I126" s="246">
        <v>92</v>
      </c>
      <c r="J126" s="246">
        <v>92</v>
      </c>
      <c r="K126" s="248">
        <v>92</v>
      </c>
      <c r="L126" s="251">
        <v>92</v>
      </c>
      <c r="M126" s="246">
        <v>92</v>
      </c>
      <c r="N126" s="246">
        <v>92</v>
      </c>
      <c r="O126" s="322">
        <v>92</v>
      </c>
      <c r="P126" s="246">
        <v>92</v>
      </c>
      <c r="Q126" s="246">
        <v>92</v>
      </c>
      <c r="R126" s="248">
        <v>92</v>
      </c>
      <c r="S126" s="248">
        <v>92</v>
      </c>
    </row>
    <row r="127" spans="2:19" ht="14.25" customHeight="1" hidden="1" thickBot="1">
      <c r="B127" s="51" t="s">
        <v>41</v>
      </c>
      <c r="C127" s="353" t="s">
        <v>155</v>
      </c>
      <c r="D127" s="279">
        <v>0</v>
      </c>
      <c r="E127" s="280">
        <v>82</v>
      </c>
      <c r="F127" s="280">
        <v>0</v>
      </c>
      <c r="G127" s="281">
        <v>0</v>
      </c>
      <c r="H127" s="279">
        <v>0</v>
      </c>
      <c r="I127" s="280">
        <v>82</v>
      </c>
      <c r="J127" s="280">
        <v>0</v>
      </c>
      <c r="K127" s="281">
        <v>0</v>
      </c>
      <c r="L127" s="279">
        <v>0</v>
      </c>
      <c r="M127" s="280">
        <v>0</v>
      </c>
      <c r="N127" s="280">
        <v>0</v>
      </c>
      <c r="O127" s="326">
        <v>0</v>
      </c>
      <c r="P127" s="280">
        <v>0</v>
      </c>
      <c r="Q127" s="280">
        <v>0</v>
      </c>
      <c r="R127" s="281">
        <v>0</v>
      </c>
      <c r="S127" s="281">
        <v>0</v>
      </c>
    </row>
    <row r="128" spans="2:19" s="62" customFormat="1" ht="16.5" customHeight="1" hidden="1" thickBot="1">
      <c r="B128" s="285">
        <v>6</v>
      </c>
      <c r="C128" s="286" t="s">
        <v>156</v>
      </c>
      <c r="D128" s="305">
        <f aca="true" t="shared" si="14" ref="D128:S128">SUM(D126:D127)</f>
        <v>92</v>
      </c>
      <c r="E128" s="306">
        <f t="shared" si="14"/>
        <v>174</v>
      </c>
      <c r="F128" s="306">
        <f t="shared" si="14"/>
        <v>92</v>
      </c>
      <c r="G128" s="307">
        <f t="shared" si="14"/>
        <v>92</v>
      </c>
      <c r="H128" s="305">
        <f t="shared" si="14"/>
        <v>92</v>
      </c>
      <c r="I128" s="306">
        <f t="shared" si="14"/>
        <v>174</v>
      </c>
      <c r="J128" s="306">
        <f t="shared" si="14"/>
        <v>92</v>
      </c>
      <c r="K128" s="307">
        <f t="shared" si="14"/>
        <v>92</v>
      </c>
      <c r="L128" s="305">
        <f t="shared" si="14"/>
        <v>92</v>
      </c>
      <c r="M128" s="306">
        <f t="shared" si="14"/>
        <v>92</v>
      </c>
      <c r="N128" s="306">
        <f t="shared" si="14"/>
        <v>92</v>
      </c>
      <c r="O128" s="328">
        <f t="shared" si="14"/>
        <v>92</v>
      </c>
      <c r="P128" s="306">
        <f t="shared" si="14"/>
        <v>92</v>
      </c>
      <c r="Q128" s="306">
        <f t="shared" si="14"/>
        <v>92</v>
      </c>
      <c r="R128" s="307">
        <f t="shared" si="14"/>
        <v>92</v>
      </c>
      <c r="S128" s="307">
        <f t="shared" si="14"/>
        <v>92</v>
      </c>
    </row>
    <row r="129" spans="2:28" s="313" customFormat="1" ht="16.5" customHeight="1" hidden="1" thickBot="1">
      <c r="B129" s="354">
        <v>7</v>
      </c>
      <c r="C129" s="355" t="s">
        <v>157</v>
      </c>
      <c r="D129" s="310">
        <f aca="true" t="shared" si="15" ref="D129:S129">+D120+D124+D128</f>
        <v>2877</v>
      </c>
      <c r="E129" s="311">
        <f t="shared" si="15"/>
        <v>3208</v>
      </c>
      <c r="F129" s="311">
        <f t="shared" si="15"/>
        <v>2877</v>
      </c>
      <c r="G129" s="312">
        <f t="shared" si="15"/>
        <v>3126</v>
      </c>
      <c r="H129" s="310">
        <f t="shared" si="15"/>
        <v>2818</v>
      </c>
      <c r="I129" s="311">
        <f t="shared" si="15"/>
        <v>3149</v>
      </c>
      <c r="J129" s="311">
        <f t="shared" si="15"/>
        <v>2818</v>
      </c>
      <c r="K129" s="312">
        <f t="shared" si="15"/>
        <v>3067</v>
      </c>
      <c r="L129" s="310">
        <f t="shared" si="15"/>
        <v>2818</v>
      </c>
      <c r="M129" s="311">
        <f t="shared" si="15"/>
        <v>3067</v>
      </c>
      <c r="N129" s="311">
        <f t="shared" si="15"/>
        <v>2818</v>
      </c>
      <c r="O129" s="329">
        <f t="shared" si="15"/>
        <v>3067</v>
      </c>
      <c r="P129" s="311">
        <f t="shared" si="15"/>
        <v>2734.69</v>
      </c>
      <c r="Q129" s="311">
        <f t="shared" si="15"/>
        <v>2983.69</v>
      </c>
      <c r="R129" s="312">
        <f t="shared" si="15"/>
        <v>2734.69</v>
      </c>
      <c r="S129" s="312">
        <f t="shared" si="15"/>
        <v>2983.69</v>
      </c>
      <c r="T129" s="356"/>
      <c r="U129" s="356"/>
      <c r="V129" s="356"/>
      <c r="W129" s="356"/>
      <c r="X129" s="356"/>
      <c r="Y129" s="356"/>
      <c r="Z129" s="356"/>
      <c r="AA129" s="356"/>
      <c r="AB129" s="356"/>
    </row>
    <row r="130" spans="2:28" ht="16.5" customHeight="1" hidden="1" thickBot="1">
      <c r="B130" s="357">
        <v>8</v>
      </c>
      <c r="C130" s="358" t="s">
        <v>158</v>
      </c>
      <c r="D130" s="315">
        <f aca="true" t="shared" si="16" ref="D130:S130">+D129-D113</f>
        <v>1037</v>
      </c>
      <c r="E130" s="318">
        <f t="shared" si="16"/>
        <v>-342</v>
      </c>
      <c r="F130" s="318">
        <f t="shared" si="16"/>
        <v>-123</v>
      </c>
      <c r="G130" s="317">
        <f t="shared" si="16"/>
        <v>-124</v>
      </c>
      <c r="H130" s="315">
        <f t="shared" si="16"/>
        <v>968</v>
      </c>
      <c r="I130" s="318">
        <f t="shared" si="16"/>
        <v>-51</v>
      </c>
      <c r="J130" s="318">
        <f t="shared" si="16"/>
        <v>-132.2176734883551</v>
      </c>
      <c r="K130" s="319">
        <f t="shared" si="16"/>
        <v>217</v>
      </c>
      <c r="L130" s="315">
        <f t="shared" si="16"/>
        <v>918</v>
      </c>
      <c r="M130" s="316">
        <f t="shared" si="16"/>
        <v>317</v>
      </c>
      <c r="N130" s="316">
        <f t="shared" si="16"/>
        <v>118</v>
      </c>
      <c r="O130" s="359">
        <f t="shared" si="16"/>
        <v>-33</v>
      </c>
      <c r="P130" s="316">
        <f t="shared" si="16"/>
        <v>834.69</v>
      </c>
      <c r="Q130" s="316">
        <f t="shared" si="16"/>
        <v>333.69000000000005</v>
      </c>
      <c r="R130" s="319">
        <f t="shared" si="16"/>
        <v>34.690000000000055</v>
      </c>
      <c r="S130" s="317">
        <f t="shared" si="16"/>
        <v>-266.30999999999995</v>
      </c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2.75" hidden="1">
      <c r="B131" s="137"/>
      <c r="C131" s="138" t="s">
        <v>101</v>
      </c>
      <c r="D131" s="138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43"/>
      <c r="U131" s="343"/>
      <c r="V131" s="343"/>
      <c r="W131" s="343"/>
      <c r="X131" s="343"/>
      <c r="Y131" s="343"/>
      <c r="Z131" s="343"/>
      <c r="AA131" s="343"/>
      <c r="AB131" s="1"/>
    </row>
    <row r="132" spans="2:28" ht="12.75" hidden="1">
      <c r="B132" s="17">
        <v>1</v>
      </c>
      <c r="C132" s="128" t="s">
        <v>159</v>
      </c>
      <c r="D132" s="12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88"/>
      <c r="U132" s="188"/>
      <c r="V132" s="188"/>
      <c r="W132" s="188"/>
      <c r="X132" s="188"/>
      <c r="Y132" s="188"/>
      <c r="Z132" s="188"/>
      <c r="AA132" s="188"/>
      <c r="AB132" s="1"/>
    </row>
    <row r="133" spans="2:27" ht="12.75" hidden="1">
      <c r="B133" s="18" t="s">
        <v>160</v>
      </c>
      <c r="C133" s="129" t="s">
        <v>161</v>
      </c>
      <c r="D133" s="129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2:27" ht="12.75" hidden="1">
      <c r="B134" s="18" t="s">
        <v>162</v>
      </c>
      <c r="C134" s="129" t="s">
        <v>163</v>
      </c>
      <c r="D134" s="129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2:4" ht="12.75" hidden="1">
      <c r="B135" s="17">
        <v>4</v>
      </c>
      <c r="C135" s="129" t="s">
        <v>174</v>
      </c>
      <c r="D135" s="129"/>
    </row>
    <row r="136" spans="2:3" ht="12.75" hidden="1">
      <c r="B136">
        <v>5</v>
      </c>
      <c r="C136" s="129" t="s">
        <v>175</v>
      </c>
    </row>
    <row r="137" spans="2:27" ht="12.75" hidden="1">
      <c r="B137" s="17">
        <v>6</v>
      </c>
      <c r="C137" s="129" t="s">
        <v>176</v>
      </c>
      <c r="D137" s="129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2:27" ht="12.75" hidden="1">
      <c r="B138" s="17">
        <v>7</v>
      </c>
      <c r="C138" s="129" t="s">
        <v>177</v>
      </c>
      <c r="D138" s="129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</sheetData>
  <mergeCells count="38">
    <mergeCell ref="L99:S99"/>
    <mergeCell ref="L102:L110"/>
    <mergeCell ref="N102:N110"/>
    <mergeCell ref="P102:P110"/>
    <mergeCell ref="R102:R110"/>
    <mergeCell ref="P100:S100"/>
    <mergeCell ref="L100:O100"/>
    <mergeCell ref="F58:F66"/>
    <mergeCell ref="L56:O56"/>
    <mergeCell ref="P56:S56"/>
    <mergeCell ref="L58:L66"/>
    <mergeCell ref="N58:N66"/>
    <mergeCell ref="P58:P66"/>
    <mergeCell ref="R58:R66"/>
    <mergeCell ref="M7:S7"/>
    <mergeCell ref="M8:O8"/>
    <mergeCell ref="Q8:S8"/>
    <mergeCell ref="D7:K7"/>
    <mergeCell ref="D8:G8"/>
    <mergeCell ref="H8:K8"/>
    <mergeCell ref="D99:K99"/>
    <mergeCell ref="D100:G100"/>
    <mergeCell ref="H100:K100"/>
    <mergeCell ref="L55:S55"/>
    <mergeCell ref="E55:K55"/>
    <mergeCell ref="E56:G56"/>
    <mergeCell ref="I56:K56"/>
    <mergeCell ref="H58:H66"/>
    <mergeCell ref="J58:J66"/>
    <mergeCell ref="D58:D66"/>
    <mergeCell ref="D10:D18"/>
    <mergeCell ref="F10:F18"/>
    <mergeCell ref="H10:H18"/>
    <mergeCell ref="J10:J18"/>
    <mergeCell ref="L10:L18"/>
    <mergeCell ref="N10:N18"/>
    <mergeCell ref="P10:P18"/>
    <mergeCell ref="R10:R18"/>
  </mergeCells>
  <printOptions horizontalCentered="1"/>
  <pageMargins left="0.5" right="0.25" top="0.25" bottom="0" header="0" footer="0"/>
  <pageSetup horizontalDpi="600" verticalDpi="600" orientation="landscape" scale="85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MAA</cp:lastModifiedBy>
  <cp:lastPrinted>2009-03-28T09:47:42Z</cp:lastPrinted>
  <dcterms:created xsi:type="dcterms:W3CDTF">2008-09-22T06:13:29Z</dcterms:created>
  <dcterms:modified xsi:type="dcterms:W3CDTF">2009-04-01T06:55:25Z</dcterms:modified>
  <cp:category/>
  <cp:version/>
  <cp:contentType/>
  <cp:contentStatus/>
</cp:coreProperties>
</file>